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jaw256/Desktop/REPORT/"/>
    </mc:Choice>
  </mc:AlternateContent>
  <xr:revisionPtr revIDLastSave="0" documentId="13_ncr:1_{7D18CAF7-75DC-154C-9A0D-BD36C1251C50}" xr6:coauthVersionLast="47" xr6:coauthVersionMax="47" xr10:uidLastSave="{00000000-0000-0000-0000-000000000000}"/>
  <bookViews>
    <workbookView xWindow="0" yWindow="700" windowWidth="34560" windowHeight="20180" activeTab="1" xr2:uid="{D9F5B2B1-62A8-E741-82B1-4C9C325CDA48}"/>
  </bookViews>
  <sheets>
    <sheet name="College Station Analysis" sheetId="6" r:id="rId1"/>
    <sheet name="Fate Analysis" sheetId="12" r:id="rId2"/>
    <sheet name="Fort Worth Analysis" sheetId="11" r:id="rId3"/>
    <sheet name="Summary Results" sheetId="10" r:id="rId4"/>
    <sheet name="Assumptions" sheetId="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3" l="1"/>
  <c r="E52" i="10" l="1"/>
  <c r="D52" i="10"/>
  <c r="C52" i="10"/>
  <c r="I28" i="11"/>
  <c r="H28" i="11"/>
  <c r="G28" i="11"/>
  <c r="G14" i="11"/>
  <c r="P8" i="10"/>
  <c r="P7" i="10"/>
  <c r="P6" i="10"/>
  <c r="N8" i="10"/>
  <c r="N7" i="10"/>
  <c r="N6" i="10"/>
  <c r="C43" i="10"/>
  <c r="B46" i="12"/>
  <c r="B47" i="12"/>
  <c r="B45" i="12"/>
  <c r="B41" i="12"/>
  <c r="E34" i="10"/>
  <c r="E35" i="10"/>
  <c r="E36" i="10"/>
  <c r="E37" i="10"/>
  <c r="D34" i="10"/>
  <c r="D35" i="10"/>
  <c r="D36" i="10"/>
  <c r="C34" i="10"/>
  <c r="C35" i="10"/>
  <c r="C36" i="10"/>
  <c r="E33" i="10"/>
  <c r="D33" i="10"/>
  <c r="C33" i="10"/>
  <c r="E24" i="10"/>
  <c r="E25" i="10"/>
  <c r="E26" i="10"/>
  <c r="D24" i="10"/>
  <c r="D25" i="10"/>
  <c r="D26" i="10"/>
  <c r="C24" i="10"/>
  <c r="C25" i="10"/>
  <c r="C26" i="10"/>
  <c r="E23" i="10"/>
  <c r="D23" i="10"/>
  <c r="C23" i="10"/>
  <c r="E14" i="10"/>
  <c r="E15" i="10"/>
  <c r="E16" i="10"/>
  <c r="D14" i="10"/>
  <c r="D15" i="10"/>
  <c r="D16" i="10"/>
  <c r="E13" i="10"/>
  <c r="D13" i="10"/>
  <c r="C14" i="10"/>
  <c r="C15" i="10"/>
  <c r="C16" i="10"/>
  <c r="C13" i="10"/>
  <c r="B44" i="10"/>
  <c r="B45" i="10"/>
  <c r="B46" i="10"/>
  <c r="B47" i="10"/>
  <c r="B48" i="10"/>
  <c r="B49" i="10"/>
  <c r="B43" i="10"/>
  <c r="B34" i="10"/>
  <c r="B35" i="10"/>
  <c r="B36" i="10"/>
  <c r="B37" i="10"/>
  <c r="B38" i="10"/>
  <c r="B39" i="10"/>
  <c r="B33" i="10"/>
  <c r="B24" i="10"/>
  <c r="B25" i="10"/>
  <c r="B26" i="10"/>
  <c r="B27" i="10"/>
  <c r="B28" i="10"/>
  <c r="B29" i="10"/>
  <c r="B23" i="10"/>
  <c r="B16" i="10"/>
  <c r="B14" i="10"/>
  <c r="B15" i="10"/>
  <c r="B17" i="10"/>
  <c r="B18" i="10"/>
  <c r="B19" i="10"/>
  <c r="B13" i="10"/>
  <c r="H15" i="12"/>
  <c r="H16" i="12"/>
  <c r="C67" i="12"/>
  <c r="C68" i="12" s="1"/>
  <c r="D67" i="12"/>
  <c r="D68" i="12" s="1"/>
  <c r="B67" i="12"/>
  <c r="B68" i="12" s="1"/>
  <c r="C62" i="12"/>
  <c r="C63" i="12" s="1"/>
  <c r="D62" i="12"/>
  <c r="D63" i="12" s="1"/>
  <c r="B63" i="12"/>
  <c r="B62" i="12"/>
  <c r="C58" i="12"/>
  <c r="D58" i="12"/>
  <c r="I18" i="12" s="1"/>
  <c r="E27" i="10" s="1"/>
  <c r="B58" i="12"/>
  <c r="G18" i="12" s="1"/>
  <c r="C27" i="10" s="1"/>
  <c r="C58" i="11"/>
  <c r="D58" i="11"/>
  <c r="I18" i="11" s="1"/>
  <c r="B58" i="11"/>
  <c r="D66" i="12"/>
  <c r="C66" i="12"/>
  <c r="B66" i="12"/>
  <c r="D61" i="12"/>
  <c r="C61" i="12"/>
  <c r="B61" i="12"/>
  <c r="H18" i="12"/>
  <c r="D27" i="10" s="1"/>
  <c r="D54" i="12"/>
  <c r="C54" i="12"/>
  <c r="B54" i="12"/>
  <c r="G17" i="12" s="1"/>
  <c r="B42" i="12"/>
  <c r="B37" i="12"/>
  <c r="C36" i="12" s="1"/>
  <c r="C35" i="12"/>
  <c r="C34" i="12"/>
  <c r="B25" i="12"/>
  <c r="B17" i="12"/>
  <c r="C17" i="12" s="1"/>
  <c r="C16" i="12"/>
  <c r="C15" i="12"/>
  <c r="B9" i="12"/>
  <c r="C7" i="12" s="1"/>
  <c r="I6" i="12"/>
  <c r="I7" i="12" s="1"/>
  <c r="H6" i="12"/>
  <c r="H7" i="12" s="1"/>
  <c r="G6" i="12"/>
  <c r="G7" i="12" s="1"/>
  <c r="B4" i="12"/>
  <c r="C2" i="12" s="1"/>
  <c r="C4" i="12" s="1"/>
  <c r="C3" i="12"/>
  <c r="I17" i="11"/>
  <c r="H16" i="6"/>
  <c r="I16" i="6"/>
  <c r="G16" i="6"/>
  <c r="G15" i="6"/>
  <c r="I16" i="11"/>
  <c r="G16" i="11"/>
  <c r="G15" i="11"/>
  <c r="H16" i="11"/>
  <c r="C54" i="11"/>
  <c r="B54" i="11"/>
  <c r="C67" i="11"/>
  <c r="C68" i="11" s="1"/>
  <c r="D67" i="11"/>
  <c r="D68" i="11" s="1"/>
  <c r="B67" i="11"/>
  <c r="B68" i="11" s="1"/>
  <c r="C62" i="11"/>
  <c r="C63" i="11" s="1"/>
  <c r="D62" i="11"/>
  <c r="D63" i="11" s="1"/>
  <c r="B62" i="11"/>
  <c r="B63" i="11" s="1"/>
  <c r="B9" i="11"/>
  <c r="C8" i="11" s="1"/>
  <c r="D66" i="11"/>
  <c r="C66" i="11"/>
  <c r="B66" i="11"/>
  <c r="D61" i="11"/>
  <c r="C61" i="11"/>
  <c r="B61" i="11"/>
  <c r="H18" i="11"/>
  <c r="D37" i="10" s="1"/>
  <c r="G18" i="11"/>
  <c r="C37" i="10" s="1"/>
  <c r="D54" i="11"/>
  <c r="B42" i="11"/>
  <c r="B37" i="11"/>
  <c r="B24" i="11" s="1"/>
  <c r="C36" i="11"/>
  <c r="C35" i="11"/>
  <c r="C34" i="11"/>
  <c r="C37" i="11" s="1"/>
  <c r="G17" i="11"/>
  <c r="B17" i="11"/>
  <c r="C17" i="11" s="1"/>
  <c r="C16" i="11"/>
  <c r="C15" i="11"/>
  <c r="H17" i="11" s="1"/>
  <c r="I6" i="11"/>
  <c r="H6" i="11"/>
  <c r="G6" i="11"/>
  <c r="G7" i="11" s="1"/>
  <c r="B4" i="11"/>
  <c r="C2" i="11" s="1"/>
  <c r="B42" i="6"/>
  <c r="C66" i="6"/>
  <c r="C67" i="6" s="1"/>
  <c r="D66" i="6"/>
  <c r="D67" i="6" s="1"/>
  <c r="B66" i="6"/>
  <c r="B67" i="6" s="1"/>
  <c r="B61" i="6"/>
  <c r="I11" i="12"/>
  <c r="C54" i="6"/>
  <c r="D54" i="6"/>
  <c r="B54" i="6"/>
  <c r="C61" i="6"/>
  <c r="D61" i="6"/>
  <c r="B20" i="3"/>
  <c r="H11" i="11" s="1"/>
  <c r="H6" i="6"/>
  <c r="I6" i="6"/>
  <c r="G6" i="6"/>
  <c r="H11" i="12" l="1"/>
  <c r="G19" i="12"/>
  <c r="C28" i="10" s="1"/>
  <c r="G20" i="11"/>
  <c r="C39" i="10" s="1"/>
  <c r="G11" i="11"/>
  <c r="I11" i="11"/>
  <c r="G11" i="12"/>
  <c r="G21" i="11"/>
  <c r="H20" i="12"/>
  <c r="D29" i="10" s="1"/>
  <c r="I20" i="12"/>
  <c r="E29" i="10" s="1"/>
  <c r="G20" i="12"/>
  <c r="C29" i="10" s="1"/>
  <c r="H19" i="12"/>
  <c r="D28" i="10" s="1"/>
  <c r="I19" i="12"/>
  <c r="E28" i="10" s="1"/>
  <c r="C37" i="12"/>
  <c r="I17" i="12"/>
  <c r="H17" i="12"/>
  <c r="B44" i="12"/>
  <c r="I16" i="12"/>
  <c r="G16" i="12"/>
  <c r="B28" i="12"/>
  <c r="B29" i="12" s="1"/>
  <c r="B30" i="12" s="1"/>
  <c r="G14" i="12" s="1"/>
  <c r="C22" i="12"/>
  <c r="C25" i="12" s="1"/>
  <c r="C23" i="12"/>
  <c r="C8" i="12"/>
  <c r="C9" i="12" s="1"/>
  <c r="C24" i="12"/>
  <c r="C18" i="12"/>
  <c r="I20" i="11"/>
  <c r="E39" i="10" s="1"/>
  <c r="H20" i="11"/>
  <c r="D39" i="10" s="1"/>
  <c r="H19" i="11"/>
  <c r="D38" i="10" s="1"/>
  <c r="I19" i="11"/>
  <c r="E38" i="10" s="1"/>
  <c r="G19" i="11"/>
  <c r="C38" i="10" s="1"/>
  <c r="B25" i="11"/>
  <c r="C7" i="11"/>
  <c r="C9" i="11" s="1"/>
  <c r="C3" i="11"/>
  <c r="C4" i="11"/>
  <c r="B28" i="11"/>
  <c r="B29" i="11" s="1"/>
  <c r="B30" i="11" s="1"/>
  <c r="H14" i="11" s="1"/>
  <c r="C23" i="11"/>
  <c r="C24" i="11"/>
  <c r="C18" i="11"/>
  <c r="H7" i="11"/>
  <c r="B44" i="11"/>
  <c r="B45" i="11" s="1"/>
  <c r="I7" i="11"/>
  <c r="C22" i="11"/>
  <c r="B46" i="11"/>
  <c r="B47" i="11" s="1"/>
  <c r="B23" i="6"/>
  <c r="B22" i="6"/>
  <c r="B17" i="6"/>
  <c r="H21" i="11" l="1"/>
  <c r="I21" i="11"/>
  <c r="G21" i="12"/>
  <c r="I21" i="12"/>
  <c r="H21" i="12"/>
  <c r="G15" i="12"/>
  <c r="I15" i="12"/>
  <c r="I14" i="12"/>
  <c r="I24" i="12"/>
  <c r="D8" i="10" s="1"/>
  <c r="H14" i="12"/>
  <c r="I14" i="11"/>
  <c r="C25" i="11"/>
  <c r="I15" i="11"/>
  <c r="H15" i="11"/>
  <c r="I7" i="6"/>
  <c r="H7" i="6"/>
  <c r="G7" i="6"/>
  <c r="C62" i="6"/>
  <c r="D62" i="6"/>
  <c r="B62" i="6"/>
  <c r="C58" i="6"/>
  <c r="H18" i="6" s="1"/>
  <c r="D17" i="10" s="1"/>
  <c r="D58" i="6"/>
  <c r="I18" i="6" s="1"/>
  <c r="E17" i="10" s="1"/>
  <c r="B58" i="6"/>
  <c r="G18" i="6" s="1"/>
  <c r="C17" i="10" s="1"/>
  <c r="B37" i="6"/>
  <c r="B9" i="6"/>
  <c r="C8" i="6" s="1"/>
  <c r="B4" i="6"/>
  <c r="C2" i="6" s="1"/>
  <c r="B2" i="3"/>
  <c r="G11" i="6" s="1"/>
  <c r="C40" i="10" l="1"/>
  <c r="I25" i="12"/>
  <c r="O8" i="10" s="1"/>
  <c r="H24" i="12"/>
  <c r="D7" i="10" s="1"/>
  <c r="H25" i="12"/>
  <c r="O7" i="10" s="1"/>
  <c r="G24" i="12"/>
  <c r="D6" i="10" s="1"/>
  <c r="G25" i="12"/>
  <c r="O6" i="10" s="1"/>
  <c r="H24" i="11"/>
  <c r="E7" i="10" s="1"/>
  <c r="H25" i="11"/>
  <c r="I24" i="11"/>
  <c r="E8" i="10" s="1"/>
  <c r="I25" i="11"/>
  <c r="G24" i="11"/>
  <c r="E6" i="10" s="1"/>
  <c r="G25" i="11"/>
  <c r="B63" i="6"/>
  <c r="G19" i="6" s="1"/>
  <c r="C18" i="10" s="1"/>
  <c r="B68" i="6"/>
  <c r="G20" i="6" s="1"/>
  <c r="C19" i="10" s="1"/>
  <c r="D63" i="6"/>
  <c r="I19" i="6" s="1"/>
  <c r="E18" i="10" s="1"/>
  <c r="D68" i="6"/>
  <c r="I20" i="6" s="1"/>
  <c r="E19" i="10" s="1"/>
  <c r="C63" i="6"/>
  <c r="H19" i="6" s="1"/>
  <c r="D18" i="10" s="1"/>
  <c r="C68" i="6"/>
  <c r="H20" i="6" s="1"/>
  <c r="D19" i="10" s="1"/>
  <c r="I11" i="6"/>
  <c r="H11" i="6"/>
  <c r="B24" i="6"/>
  <c r="B25" i="6" s="1"/>
  <c r="C36" i="6"/>
  <c r="C34" i="6"/>
  <c r="C35" i="6"/>
  <c r="C3" i="6"/>
  <c r="C4" i="6" s="1"/>
  <c r="C7" i="6"/>
  <c r="C9" i="6" s="1"/>
  <c r="C20" i="10" l="1"/>
  <c r="C48" i="10" s="1"/>
  <c r="H21" i="6"/>
  <c r="I21" i="6"/>
  <c r="G21" i="6"/>
  <c r="D40" i="10"/>
  <c r="E40" i="10"/>
  <c r="C30" i="10"/>
  <c r="E30" i="10"/>
  <c r="D30" i="10"/>
  <c r="C37" i="6"/>
  <c r="C46" i="10" l="1"/>
  <c r="C44" i="10"/>
  <c r="C45" i="10"/>
  <c r="C47" i="10"/>
  <c r="C49" i="10"/>
  <c r="C24" i="6"/>
  <c r="C22" i="6"/>
  <c r="C23" i="6"/>
  <c r="C25" i="6" l="1"/>
  <c r="C17" i="6" l="1"/>
  <c r="C15" i="6"/>
  <c r="C16" i="6"/>
  <c r="B46" i="6" l="1"/>
  <c r="G17" i="6"/>
  <c r="H17" i="6"/>
  <c r="I17" i="6"/>
  <c r="B47" i="6"/>
  <c r="B44" i="6"/>
  <c r="B45" i="6" s="1"/>
  <c r="C18" i="6"/>
  <c r="B28" i="6"/>
  <c r="B29" i="6" s="1"/>
  <c r="B30" i="6" s="1"/>
  <c r="I15" i="6" l="1"/>
  <c r="H15" i="6"/>
  <c r="I14" i="6"/>
  <c r="G14" i="6"/>
  <c r="H14" i="6"/>
  <c r="H25" i="6" l="1"/>
  <c r="H24" i="6"/>
  <c r="C7" i="10" s="1"/>
  <c r="G25" i="6"/>
  <c r="G24" i="6"/>
  <c r="C6" i="10" s="1"/>
  <c r="I25" i="6"/>
  <c r="I24" i="6"/>
  <c r="C8" i="10" s="1"/>
  <c r="D20" i="10"/>
  <c r="E20" i="10"/>
  <c r="D45" i="10" l="1"/>
  <c r="D46" i="10"/>
  <c r="D43" i="10"/>
  <c r="D44" i="10"/>
  <c r="D47" i="10"/>
  <c r="D49" i="10"/>
  <c r="D48" i="10"/>
  <c r="E44" i="10"/>
  <c r="E45" i="10"/>
  <c r="E46" i="10"/>
  <c r="E43" i="10"/>
  <c r="E47" i="10"/>
  <c r="E48" i="10"/>
  <c r="E49" i="10"/>
</calcChain>
</file>

<file path=xl/sharedStrings.xml><?xml version="1.0" encoding="utf-8"?>
<sst xmlns="http://schemas.openxmlformats.org/spreadsheetml/2006/main" count="434" uniqueCount="112">
  <si>
    <t>Parcels</t>
  </si>
  <si>
    <t>Amount</t>
  </si>
  <si>
    <t>Percent</t>
  </si>
  <si>
    <t>Attributes</t>
  </si>
  <si>
    <t>Units</t>
  </si>
  <si>
    <t>Low Density Development</t>
  </si>
  <si>
    <t>Medium Density Development</t>
  </si>
  <si>
    <t>High Density Development</t>
  </si>
  <si>
    <t>Developed</t>
  </si>
  <si>
    <t>Development Information</t>
  </si>
  <si>
    <t>Undeveloped</t>
  </si>
  <si>
    <t>Name of the Development</t>
  </si>
  <si>
    <t>The Crossing at Lick Creek</t>
  </si>
  <si>
    <t>Berkeley House at College Station</t>
  </si>
  <si>
    <t>The Standard</t>
  </si>
  <si>
    <t>Total</t>
  </si>
  <si>
    <t>Address</t>
  </si>
  <si>
    <t>Spanish Moss Dr, College Station, TX 77845</t>
  </si>
  <si>
    <t>801 Wellborn Rd, College Station, TX 77840</t>
  </si>
  <si>
    <t>315 Boyett St, College Station, TX 77840</t>
  </si>
  <si>
    <t>Parcel Size</t>
  </si>
  <si>
    <t>Acre</t>
  </si>
  <si>
    <t>Acreages</t>
  </si>
  <si>
    <t>Household Units</t>
  </si>
  <si>
    <t>Density</t>
  </si>
  <si>
    <t>Unit/Acre</t>
  </si>
  <si>
    <t>Revenue</t>
  </si>
  <si>
    <t>Dollars</t>
  </si>
  <si>
    <t>Total Number of Households Units for Current Year</t>
  </si>
  <si>
    <t>Cost</t>
  </si>
  <si>
    <t>GENERAL FUND REVENUE</t>
  </si>
  <si>
    <t>Public Service</t>
  </si>
  <si>
    <t>Property Taxes</t>
  </si>
  <si>
    <t>Transportation &amp; Public Works</t>
  </si>
  <si>
    <t>Sales Taxes</t>
  </si>
  <si>
    <t xml:space="preserve">Library, Parks &amp; Recreation, and Other </t>
  </si>
  <si>
    <t>Other</t>
  </si>
  <si>
    <t>Development-induced Arterial Road Maintenance</t>
  </si>
  <si>
    <t>Local Street Capital Replacement</t>
  </si>
  <si>
    <t>Waterline Capital Replacement</t>
  </si>
  <si>
    <t>Sanitary Sewer Capital Replacement</t>
  </si>
  <si>
    <t>PUBLIC SERVICE COST</t>
  </si>
  <si>
    <t>Police</t>
  </si>
  <si>
    <t>Fire</t>
  </si>
  <si>
    <t>Productivity</t>
  </si>
  <si>
    <t>Net Productivity per Acre</t>
  </si>
  <si>
    <t>Dollars/Acre</t>
  </si>
  <si>
    <t>Net Productivity per Unit</t>
  </si>
  <si>
    <t>Dollars/Unit</t>
  </si>
  <si>
    <t>*Public service cost is allocated per parcel</t>
  </si>
  <si>
    <t>Property tax paid toward public service cost</t>
  </si>
  <si>
    <t>Public service costs borne by developed parcels</t>
  </si>
  <si>
    <t>Public service cost per households</t>
  </si>
  <si>
    <t>INFRASTRUCTURE COST</t>
  </si>
  <si>
    <t>Library</t>
  </si>
  <si>
    <t>Parks &amp; Recreation</t>
  </si>
  <si>
    <t>* Infrastructure cost is allocated per acre</t>
  </si>
  <si>
    <t>MAINTENANCE COST</t>
  </si>
  <si>
    <t>Streets Maintenance Cost</t>
  </si>
  <si>
    <t>Percentage of Public Works</t>
  </si>
  <si>
    <t>Transportation &amp; Public Works cost from property tax</t>
  </si>
  <si>
    <t>Transportation &amp; Public Works cost per acre</t>
  </si>
  <si>
    <t>Library, Parks &amp; Recreation, and Other cost  from property tax</t>
  </si>
  <si>
    <t>Library, Parks &amp; Recreation, and Other cost  per acre</t>
  </si>
  <si>
    <t>DEVELOPMENT -INDUCED ARTERIAL ROAD MAINTENANCE COST</t>
  </si>
  <si>
    <t>Year Development Started Construction</t>
  </si>
  <si>
    <t>Total Number of Household Units in the Development</t>
  </si>
  <si>
    <t>Total number of Household Units for the City for the Year Prior to the Development Being Built</t>
  </si>
  <si>
    <t>Percentage Point Increase in Household Units Stock</t>
  </si>
  <si>
    <t>DEVELOPMENT -INDUCED LOCAL STREETS COST</t>
  </si>
  <si>
    <t>11' Lanes Miles</t>
  </si>
  <si>
    <t>Cost per Year</t>
  </si>
  <si>
    <t>DEVELOPMENT -INDUCED LOCAL WATER LINE COST</t>
  </si>
  <si>
    <t>Cost per Linear Foot</t>
  </si>
  <si>
    <t>Maintenance Cost per Year</t>
  </si>
  <si>
    <t>DEVELOPMENT -INDUCED SEWER LINE COST</t>
  </si>
  <si>
    <t>Spring Meadow</t>
  </si>
  <si>
    <t>Jameson Apartments</t>
  </si>
  <si>
    <t>103 Daisy Dr, Fate, TX</t>
  </si>
  <si>
    <t>255 Williamsburg Pkwy, Fate, TX 75189</t>
  </si>
  <si>
    <t>E Fate Main Pl, Rockwall, TX 75087</t>
  </si>
  <si>
    <t>Transportation and Capital Improvements</t>
  </si>
  <si>
    <t xml:space="preserve">Western Ridge  </t>
  </si>
  <si>
    <t>Linwood Subdivision (Townhomes)</t>
  </si>
  <si>
    <t>Western Ridge Dr, Fort-Worth, TX</t>
  </si>
  <si>
    <t>2760-2768 &amp; 2800-2808 Wingate St, Fort Worth, TX 76104</t>
  </si>
  <si>
    <t>701 Arch Adams Ln, Fort Worth, TX 76107</t>
  </si>
  <si>
    <t>FISCAL PRODUCTIVITY PER ACRE</t>
  </si>
  <si>
    <t>College Station</t>
  </si>
  <si>
    <t>Fate</t>
  </si>
  <si>
    <t>Fort Worth</t>
  </si>
  <si>
    <t>Low Density</t>
  </si>
  <si>
    <t>Medium Density</t>
  </si>
  <si>
    <t>High Density</t>
  </si>
  <si>
    <t>INDIVIDUAL COSTS AS PERCENTAGES OF TOTAL COST</t>
  </si>
  <si>
    <t>Average as a Percentage</t>
  </si>
  <si>
    <t>College Station, Texas</t>
  </si>
  <si>
    <t>City of College Station 2024 Property Tax Rate</t>
  </si>
  <si>
    <t>Road Replacement Cost Assumptions</t>
  </si>
  <si>
    <t>Replacement Cost per Lane Mile</t>
  </si>
  <si>
    <t>Roadway Service Life</t>
  </si>
  <si>
    <t>Water Line Replacement Cost Assumptions</t>
  </si>
  <si>
    <t>Annual Maintenance Cost Share of Capital Cost</t>
  </si>
  <si>
    <t>Sanitary Sewer Line Replacement Cost Assumptions</t>
  </si>
  <si>
    <t>This number needs to be updated</t>
  </si>
  <si>
    <t>City of Fort Worth 2024 Property Tax Rate</t>
  </si>
  <si>
    <t>Fate, Texas</t>
  </si>
  <si>
    <t>City of Fate 2024 Property Tax Rate</t>
  </si>
  <si>
    <t>Fort Worth, Texas</t>
  </si>
  <si>
    <t>Total Appraised Value</t>
  </si>
  <si>
    <t>City Share of Annual Property Tax Revenue</t>
  </si>
  <si>
    <t>FISCAL PRODUCTIVITY PER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</si>
</sst>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0.0"/>
    <numFmt numFmtId="168" formatCode="_([$$-409]* #,##0.00_);_([$$-409]* \(#,##0.00\);_([$$-409]* &quot;-&quot;??_);_(@_)"/>
  </numFmts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2"/>
      <color theme="0"/>
      <name val="Aptos Narrow"/>
      <scheme val="minor"/>
    </font>
    <font>
      <sz val="12"/>
      <color theme="1"/>
      <name val="Aptos Narrow"/>
      <scheme val="minor"/>
    </font>
    <font>
      <i/>
      <sz val="12"/>
      <name val="Aptos Narrow"/>
      <family val="2"/>
      <scheme val="minor"/>
    </font>
    <font>
      <sz val="12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5F58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5F58C"/>
        <bgColor rgb="FF000000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/>
      <bottom style="double">
        <color theme="1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/>
      <bottom/>
      <diagonal/>
    </border>
    <border>
      <left style="thin">
        <color theme="1"/>
      </left>
      <right/>
      <top/>
      <bottom style="double">
        <color theme="1"/>
      </bottom>
      <diagonal/>
    </border>
    <border>
      <left/>
      <right style="thin">
        <color theme="1"/>
      </right>
      <top/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double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/>
      <bottom style="thin">
        <color theme="5" tint="0.39997558519241921"/>
      </bottom>
      <diagonal/>
    </border>
    <border>
      <left style="thin">
        <color theme="3" tint="0.749992370372631"/>
      </left>
      <right style="thin">
        <color theme="3" tint="0.749992370372631"/>
      </right>
      <top style="thin">
        <color theme="3" tint="0.749992370372631"/>
      </top>
      <bottom style="thin">
        <color theme="3" tint="0.749992370372631"/>
      </bottom>
      <diagonal/>
    </border>
    <border>
      <left style="thin">
        <color theme="3" tint="0.749992370372631"/>
      </left>
      <right style="thin">
        <color theme="3" tint="0.749992370372631"/>
      </right>
      <top style="thin">
        <color theme="3" tint="0.749992370372631"/>
      </top>
      <bottom style="double">
        <color theme="3" tint="0.749992370372631"/>
      </bottom>
      <diagonal/>
    </border>
    <border>
      <left style="thin">
        <color theme="3" tint="0.749992370372631"/>
      </left>
      <right style="thin">
        <color theme="3" tint="0.749992370372631"/>
      </right>
      <top/>
      <bottom style="thin">
        <color theme="3" tint="0.749992370372631"/>
      </bottom>
      <diagonal/>
    </border>
    <border>
      <left style="thin">
        <color theme="6" tint="0.59999389629810485"/>
      </left>
      <right style="thin">
        <color theme="6" tint="0.59999389629810485"/>
      </right>
      <top style="thin">
        <color theme="6" tint="0.59999389629810485"/>
      </top>
      <bottom style="thin">
        <color theme="6" tint="0.59999389629810485"/>
      </bottom>
      <diagonal/>
    </border>
    <border>
      <left style="thin">
        <color theme="6" tint="0.59999389629810485"/>
      </left>
      <right style="thin">
        <color theme="6" tint="0.59999389629810485"/>
      </right>
      <top style="thin">
        <color theme="6" tint="0.59999389629810485"/>
      </top>
      <bottom style="double">
        <color theme="6" tint="0.59999389629810485"/>
      </bottom>
      <diagonal/>
    </border>
    <border>
      <left style="thin">
        <color theme="6" tint="0.59999389629810485"/>
      </left>
      <right style="thin">
        <color theme="6" tint="0.59999389629810485"/>
      </right>
      <top/>
      <bottom style="thin">
        <color theme="6" tint="0.59999389629810485"/>
      </bottom>
      <diagonal/>
    </border>
    <border>
      <left style="thin">
        <color theme="7" tint="0.59999389629810485"/>
      </left>
      <right style="thin">
        <color theme="7" tint="0.59999389629810485"/>
      </right>
      <top style="thin">
        <color theme="7" tint="0.59999389629810485"/>
      </top>
      <bottom style="thin">
        <color theme="7" tint="0.59999389629810485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double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double">
        <color theme="1"/>
      </top>
      <bottom style="thin">
        <color theme="1"/>
      </bottom>
      <diagonal/>
    </border>
    <border>
      <left/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3" tint="0.749992370372631"/>
      </left>
      <right style="thin">
        <color theme="3" tint="0.749992370372631"/>
      </right>
      <top style="thin">
        <color theme="3" tint="0.749992370372631"/>
      </top>
      <bottom/>
      <diagonal/>
    </border>
    <border>
      <left/>
      <right style="thin">
        <color theme="7" tint="0.59999389629810485"/>
      </right>
      <top style="thin">
        <color theme="7" tint="0.59999389629810485"/>
      </top>
      <bottom/>
      <diagonal/>
    </border>
    <border>
      <left style="thin">
        <color theme="7" tint="0.59999389629810485"/>
      </left>
      <right style="thin">
        <color theme="7" tint="0.59999389629810485"/>
      </right>
      <top style="thin">
        <color theme="7" tint="0.59999389629810485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center"/>
    </xf>
    <xf numFmtId="0" fontId="2" fillId="2" borderId="5" xfId="0" applyFont="1" applyFill="1" applyBorder="1"/>
    <xf numFmtId="0" fontId="0" fillId="0" borderId="5" xfId="0" applyBorder="1"/>
    <xf numFmtId="0" fontId="5" fillId="5" borderId="0" xfId="0" applyFont="1" applyFill="1"/>
    <xf numFmtId="0" fontId="6" fillId="0" borderId="0" xfId="0" applyFont="1"/>
    <xf numFmtId="0" fontId="0" fillId="0" borderId="15" xfId="0" applyBorder="1"/>
    <xf numFmtId="0" fontId="3" fillId="0" borderId="5" xfId="0" applyFont="1" applyBorder="1"/>
    <xf numFmtId="0" fontId="8" fillId="4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6" xfId="0" applyFont="1" applyFill="1" applyBorder="1"/>
    <xf numFmtId="167" fontId="8" fillId="4" borderId="7" xfId="0" applyNumberFormat="1" applyFont="1" applyFill="1" applyBorder="1"/>
    <xf numFmtId="166" fontId="8" fillId="4" borderId="7" xfId="1" applyNumberFormat="1" applyFont="1" applyFill="1" applyBorder="1"/>
    <xf numFmtId="166" fontId="8" fillId="4" borderId="4" xfId="1" applyNumberFormat="1" applyFont="1" applyFill="1" applyBorder="1"/>
    <xf numFmtId="0" fontId="8" fillId="4" borderId="16" xfId="0" applyFont="1" applyFill="1" applyBorder="1"/>
    <xf numFmtId="0" fontId="7" fillId="4" borderId="3" xfId="0" applyFont="1" applyFill="1" applyBorder="1"/>
    <xf numFmtId="2" fontId="8" fillId="4" borderId="4" xfId="0" applyNumberFormat="1" applyFont="1" applyFill="1" applyBorder="1"/>
    <xf numFmtId="0" fontId="7" fillId="4" borderId="2" xfId="0" applyFont="1" applyFill="1" applyBorder="1"/>
    <xf numFmtId="166" fontId="8" fillId="4" borderId="17" xfId="1" applyNumberFormat="1" applyFont="1" applyFill="1" applyBorder="1"/>
    <xf numFmtId="0" fontId="0" fillId="3" borderId="5" xfId="0" applyFill="1" applyBorder="1"/>
    <xf numFmtId="0" fontId="0" fillId="3" borderId="9" xfId="0" applyFill="1" applyBorder="1"/>
    <xf numFmtId="0" fontId="8" fillId="4" borderId="18" xfId="0" applyFont="1" applyFill="1" applyBorder="1"/>
    <xf numFmtId="167" fontId="8" fillId="4" borderId="21" xfId="0" applyNumberFormat="1" applyFont="1" applyFill="1" applyBorder="1"/>
    <xf numFmtId="2" fontId="8" fillId="4" borderId="20" xfId="0" applyNumberFormat="1" applyFont="1" applyFill="1" applyBorder="1"/>
    <xf numFmtId="166" fontId="8" fillId="4" borderId="21" xfId="1" applyNumberFormat="1" applyFont="1" applyFill="1" applyBorder="1"/>
    <xf numFmtId="166" fontId="8" fillId="4" borderId="20" xfId="1" applyNumberFormat="1" applyFont="1" applyFill="1" applyBorder="1"/>
    <xf numFmtId="166" fontId="8" fillId="4" borderId="22" xfId="0" applyNumberFormat="1" applyFont="1" applyFill="1" applyBorder="1"/>
    <xf numFmtId="166" fontId="8" fillId="4" borderId="23" xfId="1" applyNumberFormat="1" applyFont="1" applyFill="1" applyBorder="1"/>
    <xf numFmtId="1" fontId="0" fillId="3" borderId="5" xfId="0" applyNumberFormat="1" applyFill="1" applyBorder="1"/>
    <xf numFmtId="1" fontId="0" fillId="3" borderId="10" xfId="0" applyNumberFormat="1" applyFill="1" applyBorder="1"/>
    <xf numFmtId="0" fontId="8" fillId="3" borderId="19" xfId="0" applyFont="1" applyFill="1" applyBorder="1" applyAlignment="1">
      <alignment wrapText="1"/>
    </xf>
    <xf numFmtId="0" fontId="8" fillId="3" borderId="19" xfId="0" applyFont="1" applyFill="1" applyBorder="1"/>
    <xf numFmtId="0" fontId="8" fillId="3" borderId="1" xfId="0" applyFont="1" applyFill="1" applyBorder="1"/>
    <xf numFmtId="0" fontId="8" fillId="3" borderId="20" xfId="0" applyFont="1" applyFill="1" applyBorder="1"/>
    <xf numFmtId="0" fontId="8" fillId="3" borderId="20" xfId="0" applyFont="1" applyFill="1" applyBorder="1" applyAlignment="1">
      <alignment wrapText="1"/>
    </xf>
    <xf numFmtId="0" fontId="8" fillId="3" borderId="4" xfId="0" applyFont="1" applyFill="1" applyBorder="1" applyAlignment="1">
      <alignment wrapText="1"/>
    </xf>
    <xf numFmtId="167" fontId="8" fillId="3" borderId="19" xfId="0" applyNumberFormat="1" applyFont="1" applyFill="1" applyBorder="1"/>
    <xf numFmtId="167" fontId="8" fillId="3" borderId="1" xfId="0" applyNumberFormat="1" applyFont="1" applyFill="1" applyBorder="1"/>
    <xf numFmtId="166" fontId="8" fillId="3" borderId="19" xfId="1" applyNumberFormat="1" applyFont="1" applyFill="1" applyBorder="1"/>
    <xf numFmtId="166" fontId="8" fillId="3" borderId="1" xfId="1" applyNumberFormat="1" applyFont="1" applyFill="1" applyBorder="1"/>
    <xf numFmtId="0" fontId="4" fillId="8" borderId="0" xfId="0" applyFont="1" applyFill="1"/>
    <xf numFmtId="0" fontId="4" fillId="7" borderId="24" xfId="0" applyFont="1" applyFill="1" applyBorder="1"/>
    <xf numFmtId="166" fontId="0" fillId="3" borderId="24" xfId="1" applyNumberFormat="1" applyFont="1" applyFill="1" applyBorder="1"/>
    <xf numFmtId="0" fontId="4" fillId="8" borderId="27" xfId="0" applyFont="1" applyFill="1" applyBorder="1"/>
    <xf numFmtId="166" fontId="0" fillId="3" borderId="27" xfId="1" applyNumberFormat="1" applyFont="1" applyFill="1" applyBorder="1"/>
    <xf numFmtId="166" fontId="0" fillId="3" borderId="28" xfId="1" applyNumberFormat="1" applyFont="1" applyFill="1" applyBorder="1"/>
    <xf numFmtId="164" fontId="0" fillId="3" borderId="27" xfId="0" applyNumberFormat="1" applyFill="1" applyBorder="1"/>
    <xf numFmtId="166" fontId="4" fillId="8" borderId="0" xfId="0" applyNumberFormat="1" applyFont="1" applyFill="1"/>
    <xf numFmtId="0" fontId="4" fillId="6" borderId="0" xfId="0" applyFont="1" applyFill="1"/>
    <xf numFmtId="166" fontId="4" fillId="6" borderId="0" xfId="0" applyNumberFormat="1" applyFont="1" applyFill="1"/>
    <xf numFmtId="0" fontId="4" fillId="6" borderId="30" xfId="0" applyFont="1" applyFill="1" applyBorder="1"/>
    <xf numFmtId="166" fontId="0" fillId="3" borderId="30" xfId="1" applyNumberFormat="1" applyFont="1" applyFill="1" applyBorder="1"/>
    <xf numFmtId="166" fontId="0" fillId="3" borderId="31" xfId="1" applyNumberFormat="1" applyFont="1" applyFill="1" applyBorder="1"/>
    <xf numFmtId="166" fontId="4" fillId="3" borderId="26" xfId="1" applyNumberFormat="1" applyFont="1" applyFill="1" applyBorder="1"/>
    <xf numFmtId="165" fontId="4" fillId="3" borderId="5" xfId="3" applyNumberFormat="1" applyFont="1" applyFill="1" applyBorder="1"/>
    <xf numFmtId="0" fontId="8" fillId="4" borderId="20" xfId="0" applyFont="1" applyFill="1" applyBorder="1"/>
    <xf numFmtId="0" fontId="4" fillId="9" borderId="0" xfId="0" applyFont="1" applyFill="1"/>
    <xf numFmtId="0" fontId="0" fillId="3" borderId="27" xfId="0" applyFill="1" applyBorder="1"/>
    <xf numFmtId="165" fontId="0" fillId="3" borderId="27" xfId="3" applyNumberFormat="1" applyFont="1" applyFill="1" applyBorder="1"/>
    <xf numFmtId="0" fontId="4" fillId="9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33" xfId="0" applyFont="1" applyFill="1" applyBorder="1"/>
    <xf numFmtId="168" fontId="0" fillId="0" borderId="0" xfId="0" applyNumberFormat="1"/>
    <xf numFmtId="0" fontId="0" fillId="4" borderId="5" xfId="0" applyFill="1" applyBorder="1"/>
    <xf numFmtId="0" fontId="0" fillId="4" borderId="9" xfId="0" applyFill="1" applyBorder="1"/>
    <xf numFmtId="0" fontId="4" fillId="4" borderId="8" xfId="0" applyFont="1" applyFill="1" applyBorder="1"/>
    <xf numFmtId="165" fontId="4" fillId="4" borderId="8" xfId="3" applyNumberFormat="1" applyFont="1" applyFill="1" applyBorder="1"/>
    <xf numFmtId="9" fontId="4" fillId="4" borderId="8" xfId="2" applyFont="1" applyFill="1" applyBorder="1"/>
    <xf numFmtId="10" fontId="0" fillId="4" borderId="9" xfId="0" applyNumberFormat="1" applyFill="1" applyBorder="1"/>
    <xf numFmtId="10" fontId="0" fillId="4" borderId="5" xfId="0" applyNumberFormat="1" applyFill="1" applyBorder="1"/>
    <xf numFmtId="0" fontId="0" fillId="4" borderId="24" xfId="0" applyFill="1" applyBorder="1"/>
    <xf numFmtId="0" fontId="0" fillId="4" borderId="25" xfId="0" applyFill="1" applyBorder="1"/>
    <xf numFmtId="0" fontId="4" fillId="4" borderId="26" xfId="0" applyFont="1" applyFill="1" applyBorder="1"/>
    <xf numFmtId="166" fontId="0" fillId="4" borderId="25" xfId="1" applyNumberFormat="1" applyFont="1" applyFill="1" applyBorder="1"/>
    <xf numFmtId="9" fontId="0" fillId="4" borderId="24" xfId="2" applyFont="1" applyFill="1" applyBorder="1"/>
    <xf numFmtId="9" fontId="0" fillId="4" borderId="25" xfId="2" applyFont="1" applyFill="1" applyBorder="1"/>
    <xf numFmtId="9" fontId="4" fillId="4" borderId="26" xfId="2" applyFont="1" applyFill="1" applyBorder="1"/>
    <xf numFmtId="0" fontId="0" fillId="4" borderId="30" xfId="0" applyFill="1" applyBorder="1"/>
    <xf numFmtId="0" fontId="0" fillId="4" borderId="31" xfId="0" applyFill="1" applyBorder="1"/>
    <xf numFmtId="0" fontId="4" fillId="4" borderId="32" xfId="0" applyFont="1" applyFill="1" applyBorder="1"/>
    <xf numFmtId="166" fontId="4" fillId="4" borderId="32" xfId="1" applyNumberFormat="1" applyFont="1" applyFill="1" applyBorder="1"/>
    <xf numFmtId="9" fontId="0" fillId="4" borderId="30" xfId="2" applyFont="1" applyFill="1" applyBorder="1"/>
    <xf numFmtId="9" fontId="0" fillId="4" borderId="31" xfId="2" applyFont="1" applyFill="1" applyBorder="1"/>
    <xf numFmtId="9" fontId="4" fillId="4" borderId="32" xfId="2" applyFont="1" applyFill="1" applyBorder="1"/>
    <xf numFmtId="0" fontId="0" fillId="4" borderId="27" xfId="0" applyFill="1" applyBorder="1"/>
    <xf numFmtId="0" fontId="0" fillId="4" borderId="28" xfId="0" applyFill="1" applyBorder="1"/>
    <xf numFmtId="0" fontId="4" fillId="4" borderId="29" xfId="0" applyFont="1" applyFill="1" applyBorder="1"/>
    <xf numFmtId="166" fontId="4" fillId="4" borderId="29" xfId="1" applyNumberFormat="1" applyFont="1" applyFill="1" applyBorder="1"/>
    <xf numFmtId="9" fontId="0" fillId="4" borderId="27" xfId="2" applyFont="1" applyFill="1" applyBorder="1"/>
    <xf numFmtId="9" fontId="0" fillId="4" borderId="28" xfId="2" applyFont="1" applyFill="1" applyBorder="1"/>
    <xf numFmtId="9" fontId="4" fillId="4" borderId="29" xfId="2" applyFont="1" applyFill="1" applyBorder="1"/>
    <xf numFmtId="164" fontId="0" fillId="4" borderId="27" xfId="0" applyNumberFormat="1" applyFill="1" applyBorder="1"/>
    <xf numFmtId="0" fontId="6" fillId="4" borderId="33" xfId="0" applyFont="1" applyFill="1" applyBorder="1"/>
    <xf numFmtId="166" fontId="6" fillId="4" borderId="33" xfId="1" applyNumberFormat="1" applyFont="1" applyFill="1" applyBorder="1"/>
    <xf numFmtId="0" fontId="6" fillId="0" borderId="14" xfId="0" applyFont="1" applyBorder="1"/>
    <xf numFmtId="166" fontId="6" fillId="3" borderId="12" xfId="1" applyNumberFormat="1" applyFont="1" applyFill="1" applyBorder="1"/>
    <xf numFmtId="0" fontId="6" fillId="3" borderId="11" xfId="0" applyFont="1" applyFill="1" applyBorder="1"/>
    <xf numFmtId="0" fontId="6" fillId="0" borderId="13" xfId="0" applyFont="1" applyBorder="1"/>
    <xf numFmtId="0" fontId="6" fillId="0" borderId="11" xfId="0" applyFont="1" applyBorder="1"/>
    <xf numFmtId="9" fontId="6" fillId="3" borderId="11" xfId="2" applyFont="1" applyFill="1" applyBorder="1"/>
    <xf numFmtId="0" fontId="8" fillId="6" borderId="36" xfId="0" applyFont="1" applyFill="1" applyBorder="1"/>
    <xf numFmtId="0" fontId="8" fillId="8" borderId="34" xfId="0" applyFont="1" applyFill="1" applyBorder="1"/>
    <xf numFmtId="0" fontId="8" fillId="9" borderId="34" xfId="0" applyFont="1" applyFill="1" applyBorder="1"/>
    <xf numFmtId="166" fontId="8" fillId="6" borderId="36" xfId="1" applyNumberFormat="1" applyFont="1" applyFill="1" applyBorder="1"/>
    <xf numFmtId="166" fontId="8" fillId="8" borderId="34" xfId="1" applyNumberFormat="1" applyFont="1" applyFill="1" applyBorder="1"/>
    <xf numFmtId="166" fontId="8" fillId="9" borderId="34" xfId="0" applyNumberFormat="1" applyFont="1" applyFill="1" applyBorder="1"/>
    <xf numFmtId="166" fontId="8" fillId="6" borderId="35" xfId="1" applyNumberFormat="1" applyFont="1" applyFill="1" applyBorder="1"/>
    <xf numFmtId="166" fontId="8" fillId="8" borderId="0" xfId="1" applyNumberFormat="1" applyFont="1" applyFill="1" applyBorder="1"/>
    <xf numFmtId="166" fontId="8" fillId="9" borderId="0" xfId="0" applyNumberFormat="1" applyFont="1" applyFill="1"/>
    <xf numFmtId="166" fontId="8" fillId="9" borderId="34" xfId="1" applyNumberFormat="1" applyFont="1" applyFill="1" applyBorder="1"/>
    <xf numFmtId="0" fontId="7" fillId="4" borderId="5" xfId="0" applyFont="1" applyFill="1" applyBorder="1"/>
    <xf numFmtId="0" fontId="8" fillId="4" borderId="5" xfId="0" applyFont="1" applyFill="1" applyBorder="1"/>
    <xf numFmtId="166" fontId="8" fillId="4" borderId="5" xfId="0" applyNumberFormat="1" applyFont="1" applyFill="1" applyBorder="1"/>
    <xf numFmtId="0" fontId="7" fillId="4" borderId="37" xfId="0" applyFont="1" applyFill="1" applyBorder="1"/>
    <xf numFmtId="0" fontId="8" fillId="4" borderId="37" xfId="0" applyFont="1" applyFill="1" applyBorder="1"/>
    <xf numFmtId="166" fontId="8" fillId="4" borderId="38" xfId="0" applyNumberFormat="1" applyFont="1" applyFill="1" applyBorder="1"/>
    <xf numFmtId="166" fontId="8" fillId="4" borderId="39" xfId="1" applyNumberFormat="1" applyFont="1" applyFill="1" applyBorder="1"/>
    <xf numFmtId="0" fontId="4" fillId="9" borderId="40" xfId="0" applyFont="1" applyFill="1" applyBorder="1" applyAlignment="1">
      <alignment vertical="center" wrapText="1"/>
    </xf>
    <xf numFmtId="0" fontId="4" fillId="9" borderId="40" xfId="0" applyFont="1" applyFill="1" applyBorder="1" applyAlignment="1">
      <alignment horizontal="center" vertical="center" wrapText="1"/>
    </xf>
    <xf numFmtId="0" fontId="4" fillId="9" borderId="41" xfId="0" applyFont="1" applyFill="1" applyBorder="1" applyAlignment="1">
      <alignment horizontal="center" vertical="center" wrapText="1"/>
    </xf>
    <xf numFmtId="0" fontId="4" fillId="9" borderId="42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left" vertical="center" wrapText="1"/>
    </xf>
    <xf numFmtId="0" fontId="4" fillId="9" borderId="33" xfId="0" applyFont="1" applyFill="1" applyBorder="1" applyAlignment="1">
      <alignment vertical="center" wrapText="1"/>
    </xf>
    <xf numFmtId="0" fontId="6" fillId="4" borderId="33" xfId="0" applyFont="1" applyFill="1" applyBorder="1" applyAlignment="1">
      <alignment vertical="center" wrapText="1"/>
    </xf>
    <xf numFmtId="0" fontId="0" fillId="3" borderId="33" xfId="0" applyFill="1" applyBorder="1"/>
    <xf numFmtId="165" fontId="0" fillId="3" borderId="33" xfId="3" applyNumberFormat="1" applyFont="1" applyFill="1" applyBorder="1"/>
    <xf numFmtId="10" fontId="6" fillId="4" borderId="33" xfId="2" applyNumberFormat="1" applyFont="1" applyFill="1" applyBorder="1"/>
    <xf numFmtId="166" fontId="8" fillId="10" borderId="43" xfId="0" applyNumberFormat="1" applyFont="1" applyFill="1" applyBorder="1"/>
    <xf numFmtId="166" fontId="8" fillId="10" borderId="44" xfId="0" applyNumberFormat="1" applyFont="1" applyFill="1" applyBorder="1"/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center"/>
    </xf>
    <xf numFmtId="166" fontId="0" fillId="0" borderId="48" xfId="0" applyNumberFormat="1" applyBorder="1" applyAlignment="1">
      <alignment horizontal="center"/>
    </xf>
    <xf numFmtId="0" fontId="0" fillId="0" borderId="49" xfId="0" applyBorder="1" applyAlignment="1">
      <alignment horizontal="left"/>
    </xf>
    <xf numFmtId="166" fontId="0" fillId="0" borderId="50" xfId="0" applyNumberFormat="1" applyBorder="1" applyAlignment="1">
      <alignment horizontal="center"/>
    </xf>
    <xf numFmtId="166" fontId="0" fillId="0" borderId="51" xfId="0" applyNumberFormat="1" applyBorder="1" applyAlignment="1">
      <alignment horizontal="center"/>
    </xf>
    <xf numFmtId="0" fontId="3" fillId="0" borderId="0" xfId="0" applyFont="1"/>
    <xf numFmtId="0" fontId="3" fillId="0" borderId="47" xfId="0" applyFont="1" applyBorder="1"/>
    <xf numFmtId="0" fontId="0" fillId="0" borderId="48" xfId="0" applyBorder="1"/>
    <xf numFmtId="0" fontId="0" fillId="0" borderId="47" xfId="0" applyBorder="1"/>
    <xf numFmtId="0" fontId="0" fillId="0" borderId="49" xfId="0" applyBorder="1"/>
    <xf numFmtId="0" fontId="0" fillId="11" borderId="47" xfId="0" applyFill="1" applyBorder="1"/>
    <xf numFmtId="0" fontId="0" fillId="11" borderId="48" xfId="0" applyFill="1" applyBorder="1"/>
    <xf numFmtId="9" fontId="0" fillId="0" borderId="48" xfId="0" applyNumberFormat="1" applyBorder="1"/>
    <xf numFmtId="9" fontId="0" fillId="0" borderId="50" xfId="0" applyNumberFormat="1" applyBorder="1"/>
    <xf numFmtId="9" fontId="0" fillId="0" borderId="51" xfId="0" applyNumberFormat="1" applyBorder="1"/>
    <xf numFmtId="164" fontId="0" fillId="0" borderId="48" xfId="0" applyNumberFormat="1" applyBorder="1"/>
    <xf numFmtId="164" fontId="0" fillId="0" borderId="0" xfId="0" applyNumberFormat="1"/>
    <xf numFmtId="0" fontId="0" fillId="11" borderId="0" xfId="0" applyFill="1"/>
    <xf numFmtId="9" fontId="0" fillId="0" borderId="0" xfId="0" applyNumberFormat="1"/>
    <xf numFmtId="44" fontId="0" fillId="0" borderId="0" xfId="0" applyNumberFormat="1"/>
    <xf numFmtId="0" fontId="3" fillId="11" borderId="45" xfId="0" applyFont="1" applyFill="1" applyBorder="1" applyAlignment="1">
      <alignment horizontal="center"/>
    </xf>
    <xf numFmtId="0" fontId="3" fillId="11" borderId="46" xfId="0" applyFont="1" applyFill="1" applyBorder="1" applyAlignment="1">
      <alignment horizontal="center"/>
    </xf>
    <xf numFmtId="0" fontId="3" fillId="11" borderId="44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2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1"/>
        </left>
        <right style="thin">
          <color theme="1"/>
        </right>
        <vertical/>
      </border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none"/>
      </font>
      <fill>
        <patternFill patternType="solid">
          <fgColor rgb="FF000000"/>
          <bgColor rgb="FFF2F2F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1"/>
        </left>
        <right style="thin">
          <color theme="1"/>
        </right>
        <vertical/>
      </border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none"/>
      </font>
      <fill>
        <patternFill patternType="solid">
          <fgColor rgb="FF000000"/>
          <bgColor rgb="FFF2F2F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1"/>
        </left>
        <right style="thin">
          <color theme="1"/>
        </right>
        <vertical/>
      </border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</dxf>
  </dxfs>
  <tableStyles count="0" defaultTableStyle="TableStyleMedium2" defaultPivotStyle="PivotStyleLight16"/>
  <colors>
    <mruColors>
      <color rgb="FFF5F5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53-4D27-AF9A-B880DA3F41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53-4D27-AF9A-B880DA3F41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153-4D27-AF9A-B880DA3F41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153-4D27-AF9A-B880DA3F41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153-4D27-AF9A-B880DA3F418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153-4D27-AF9A-B880DA3F418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153-4D27-AF9A-B880DA3F418E}"/>
              </c:ext>
            </c:extLst>
          </c:dPt>
          <c:dLbls>
            <c:dLbl>
              <c:idx val="0"/>
              <c:layout>
                <c:manualLayout>
                  <c:x val="3.8766122913505313E-2"/>
                  <c:y val="-5.25872571120142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53-4D27-AF9A-B880DA3F418E}"/>
                </c:ext>
              </c:extLst>
            </c:dLbl>
            <c:dLbl>
              <c:idx val="1"/>
              <c:layout>
                <c:manualLayout>
                  <c:x val="6.1038319807141979E-2"/>
                  <c:y val="-7.497999521775879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53-4D27-AF9A-B880DA3F418E}"/>
                </c:ext>
              </c:extLst>
            </c:dLbl>
            <c:dLbl>
              <c:idx val="2"/>
              <c:layout>
                <c:manualLayout>
                  <c:x val="2.5067573975720642E-2"/>
                  <c:y val="2.937135858050847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53-4D27-AF9A-B880DA3F418E}"/>
                </c:ext>
              </c:extLst>
            </c:dLbl>
            <c:dLbl>
              <c:idx val="3"/>
              <c:layout>
                <c:manualLayout>
                  <c:x val="2.8232986430565678E-2"/>
                  <c:y val="9.8672658609206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53-4D27-AF9A-B880DA3F418E}"/>
                </c:ext>
              </c:extLst>
            </c:dLbl>
            <c:dLbl>
              <c:idx val="4"/>
              <c:layout>
                <c:manualLayout>
                  <c:x val="-8.3531616017302135E-2"/>
                  <c:y val="7.244761777659148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53-4D27-AF9A-B880DA3F418E}"/>
                </c:ext>
              </c:extLst>
            </c:dLbl>
            <c:dLbl>
              <c:idx val="5"/>
              <c:layout>
                <c:manualLayout>
                  <c:x val="1.0848135696334574E-3"/>
                  <c:y val="-0.204141470345440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53-4D27-AF9A-B880DA3F418E}"/>
                </c:ext>
              </c:extLst>
            </c:dLbl>
            <c:dLbl>
              <c:idx val="6"/>
              <c:layout>
                <c:manualLayout>
                  <c:x val="-9.6707863859582063E-2"/>
                  <c:y val="-9.5261699898399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53-4D27-AF9A-B880DA3F41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'Summary Results'!$B$43:$B$49</c:f>
              <c:strCache>
                <c:ptCount val="7"/>
                <c:pt idx="0">
                  <c:v>Public Service</c:v>
                </c:pt>
                <c:pt idx="1">
                  <c:v>Transportation &amp; Public Works</c:v>
                </c:pt>
                <c:pt idx="2">
                  <c:v>Library, Parks &amp; Recreation, and Other </c:v>
                </c:pt>
                <c:pt idx="3">
                  <c:v>Development-induced Arterial Road Maintenance</c:v>
                </c:pt>
                <c:pt idx="4">
                  <c:v>Local Street Capital Replacement</c:v>
                </c:pt>
                <c:pt idx="5">
                  <c:v>Waterline Capital Replacement</c:v>
                </c:pt>
                <c:pt idx="6">
                  <c:v>Sanitary Sewer Capital Replacement</c:v>
                </c:pt>
              </c:strCache>
            </c:strRef>
          </c:cat>
          <c:val>
            <c:numRef>
              <c:f>'Summary Results'!$C$43:$C$49</c:f>
              <c:numCache>
                <c:formatCode>0%</c:formatCode>
                <c:ptCount val="7"/>
                <c:pt idx="0">
                  <c:v>0.31326058709316978</c:v>
                </c:pt>
                <c:pt idx="1">
                  <c:v>7.3620077368569308E-3</c:v>
                </c:pt>
                <c:pt idx="2">
                  <c:v>1.2027416962331222E-2</c:v>
                </c:pt>
                <c:pt idx="3">
                  <c:v>3.2629645241444828E-2</c:v>
                </c:pt>
                <c:pt idx="4">
                  <c:v>0.28437291351532135</c:v>
                </c:pt>
                <c:pt idx="5">
                  <c:v>0.20019853111478625</c:v>
                </c:pt>
                <c:pt idx="6">
                  <c:v>0.15014889833608966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47-426B-B750-0181CF989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14-4AA3-A20B-FFACA810F6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14-4AA3-A20B-FFACA810F6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14-4AA3-A20B-FFACA810F6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114-4AA3-A20B-FFACA810F63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114-4AA3-A20B-FFACA810F63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114-4AA3-A20B-FFACA810F63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114-4AA3-A20B-FFACA810F63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14-4AA3-A20B-FFACA810F63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14-4AA3-A20B-FFACA810F63F}"/>
                </c:ext>
              </c:extLst>
            </c:dLbl>
            <c:dLbl>
              <c:idx val="3"/>
              <c:layout>
                <c:manualLayout>
                  <c:x val="-0.15471928533190579"/>
                  <c:y val="0.1480365652492668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14-4AA3-A20B-FFACA810F63F}"/>
                </c:ext>
              </c:extLst>
            </c:dLbl>
            <c:dLbl>
              <c:idx val="4"/>
              <c:layout>
                <c:manualLayout>
                  <c:x val="4.1111817451820132E-2"/>
                  <c:y val="-6.69561033724340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14-4AA3-A20B-FFACA810F63F}"/>
                </c:ext>
              </c:extLst>
            </c:dLbl>
            <c:dLbl>
              <c:idx val="5"/>
              <c:layout>
                <c:manualLayout>
                  <c:x val="0.16878011241970012"/>
                  <c:y val="-4.505361070381231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14-4AA3-A20B-FFACA810F63F}"/>
                </c:ext>
              </c:extLst>
            </c:dLbl>
            <c:dLbl>
              <c:idx val="6"/>
              <c:layout>
                <c:manualLayout>
                  <c:x val="0.34772324025443008"/>
                  <c:y val="4.00019290568884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114-4AA3-A20B-FFACA810F6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'Summary Results'!$B$43:$B$49</c:f>
              <c:strCache>
                <c:ptCount val="7"/>
                <c:pt idx="0">
                  <c:v>Public Service</c:v>
                </c:pt>
                <c:pt idx="1">
                  <c:v>Transportation &amp; Public Works</c:v>
                </c:pt>
                <c:pt idx="2">
                  <c:v>Library, Parks &amp; Recreation, and Other </c:v>
                </c:pt>
                <c:pt idx="3">
                  <c:v>Development-induced Arterial Road Maintenance</c:v>
                </c:pt>
                <c:pt idx="4">
                  <c:v>Local Street Capital Replacement</c:v>
                </c:pt>
                <c:pt idx="5">
                  <c:v>Waterline Capital Replacement</c:v>
                </c:pt>
                <c:pt idx="6">
                  <c:v>Sanitary Sewer Capital Replacement</c:v>
                </c:pt>
              </c:strCache>
            </c:strRef>
          </c:cat>
          <c:val>
            <c:numRef>
              <c:f>'Summary Results'!$D$43:$D$49</c:f>
              <c:numCache>
                <c:formatCode>0%</c:formatCode>
                <c:ptCount val="7"/>
                <c:pt idx="0">
                  <c:v>0.89830814100930523</c:v>
                </c:pt>
                <c:pt idx="1">
                  <c:v>3.492226672565801E-3</c:v>
                </c:pt>
                <c:pt idx="2">
                  <c:v>5.4762323819664387E-3</c:v>
                </c:pt>
                <c:pt idx="3">
                  <c:v>5.4301252001741497E-2</c:v>
                </c:pt>
                <c:pt idx="4">
                  <c:v>1.7214223984955635E-2</c:v>
                </c:pt>
                <c:pt idx="5">
                  <c:v>1.2118813685408769E-2</c:v>
                </c:pt>
                <c:pt idx="6">
                  <c:v>9.0891102640565744E-3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114-4AA3-A20B-FFACA810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FD-4A07-B753-1DD4DB3432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FD-4A07-B753-1DD4DB3432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1FD-4A07-B753-1DD4DB3432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1FD-4A07-B753-1DD4DB3432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1FD-4A07-B753-1DD4DB3432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1FD-4A07-B753-1DD4DB34328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1FD-4A07-B753-1DD4DB343283}"/>
              </c:ext>
            </c:extLst>
          </c:dPt>
          <c:dLbls>
            <c:dLbl>
              <c:idx val="0"/>
              <c:layout>
                <c:manualLayout>
                  <c:x val="0.21587913074712634"/>
                  <c:y val="-0.173040342229250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FD-4A07-B753-1DD4DB34328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FD-4A07-B753-1DD4DB34328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FD-4A07-B753-1DD4DB343283}"/>
                </c:ext>
              </c:extLst>
            </c:dLbl>
            <c:dLbl>
              <c:idx val="3"/>
              <c:layout>
                <c:manualLayout>
                  <c:x val="-0.21248119620948544"/>
                  <c:y val="3.92858462905744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FD-4A07-B753-1DD4DB34328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FD-4A07-B753-1DD4DB34328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FD-4A07-B753-1DD4DB34328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FD-4A07-B753-1DD4DB3432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'Summary Results'!$B$43:$B$49</c:f>
              <c:strCache>
                <c:ptCount val="7"/>
                <c:pt idx="0">
                  <c:v>Public Service</c:v>
                </c:pt>
                <c:pt idx="1">
                  <c:v>Transportation &amp; Public Works</c:v>
                </c:pt>
                <c:pt idx="2">
                  <c:v>Library, Parks &amp; Recreation, and Other </c:v>
                </c:pt>
                <c:pt idx="3">
                  <c:v>Development-induced Arterial Road Maintenance</c:v>
                </c:pt>
                <c:pt idx="4">
                  <c:v>Local Street Capital Replacement</c:v>
                </c:pt>
                <c:pt idx="5">
                  <c:v>Waterline Capital Replacement</c:v>
                </c:pt>
                <c:pt idx="6">
                  <c:v>Sanitary Sewer Capital Replacement</c:v>
                </c:pt>
              </c:strCache>
            </c:strRef>
          </c:cat>
          <c:val>
            <c:numRef>
              <c:f>'Summary Results'!$E$43:$E$49</c:f>
              <c:numCache>
                <c:formatCode>0%</c:formatCode>
                <c:ptCount val="7"/>
                <c:pt idx="0">
                  <c:v>0.93030623660528333</c:v>
                </c:pt>
                <c:pt idx="1">
                  <c:v>1.8733386932660568E-3</c:v>
                </c:pt>
                <c:pt idx="2">
                  <c:v>1.7139310819103521E-3</c:v>
                </c:pt>
                <c:pt idx="3">
                  <c:v>6.6106493619540255E-2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1FD-4A07-B753-1DD4DB343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Fiscal Productivity Per Acre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Results'!$B$6</c:f>
              <c:strCache>
                <c:ptCount val="1"/>
                <c:pt idx="0">
                  <c:v>Low Density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Results'!$C$4:$E$5</c:f>
              <c:strCache>
                <c:ptCount val="3"/>
                <c:pt idx="0">
                  <c:v>College Station</c:v>
                </c:pt>
                <c:pt idx="1">
                  <c:v>Fate</c:v>
                </c:pt>
                <c:pt idx="2">
                  <c:v>Fort Worth</c:v>
                </c:pt>
              </c:strCache>
            </c:strRef>
          </c:cat>
          <c:val>
            <c:numRef>
              <c:f>'Summary Results'!$C$6:$E$6</c:f>
              <c:numCache>
                <c:formatCode>_("$"* #,##0_);_("$"* \(#,##0\);_("$"* "-"??_);_(@_)</c:formatCode>
                <c:ptCount val="3"/>
                <c:pt idx="0">
                  <c:v>-2799.7393600349078</c:v>
                </c:pt>
                <c:pt idx="1">
                  <c:v>-5449.2819059433514</c:v>
                </c:pt>
                <c:pt idx="2">
                  <c:v>-2753.656292443628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FF-44EA-8124-70ACCC6B3B5E}"/>
            </c:ext>
          </c:extLst>
        </c:ser>
        <c:ser>
          <c:idx val="1"/>
          <c:order val="1"/>
          <c:tx>
            <c:strRef>
              <c:f>'Summary Results'!$B$7</c:f>
              <c:strCache>
                <c:ptCount val="1"/>
                <c:pt idx="0">
                  <c:v>Medium Density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Results'!$C$4:$E$5</c:f>
              <c:strCache>
                <c:ptCount val="3"/>
                <c:pt idx="0">
                  <c:v>College Station</c:v>
                </c:pt>
                <c:pt idx="1">
                  <c:v>Fate</c:v>
                </c:pt>
                <c:pt idx="2">
                  <c:v>Fort Worth</c:v>
                </c:pt>
              </c:strCache>
            </c:strRef>
          </c:cat>
          <c:val>
            <c:numRef>
              <c:f>'Summary Results'!$C$7:$E$7</c:f>
              <c:numCache>
                <c:formatCode>_("$"* #,##0_);_("$"* \(#,##0\);_("$"* "-"??_);_(@_)</c:formatCode>
                <c:ptCount val="3"/>
                <c:pt idx="0">
                  <c:v>14220.062332558808</c:v>
                </c:pt>
                <c:pt idx="1">
                  <c:v>-10554.066307778981</c:v>
                </c:pt>
                <c:pt idx="2">
                  <c:v>48448.575623898643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FF-44EA-8124-70ACCC6B3B5E}"/>
            </c:ext>
          </c:extLst>
        </c:ser>
        <c:ser>
          <c:idx val="2"/>
          <c:order val="2"/>
          <c:tx>
            <c:strRef>
              <c:f>'Summary Results'!$B$8</c:f>
              <c:strCache>
                <c:ptCount val="1"/>
                <c:pt idx="0">
                  <c:v>High Density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'Summary Results'!$C$4:$E$5</c:f>
              <c:strCache>
                <c:ptCount val="3"/>
                <c:pt idx="0">
                  <c:v>College Station</c:v>
                </c:pt>
                <c:pt idx="1">
                  <c:v>Fate</c:v>
                </c:pt>
                <c:pt idx="2">
                  <c:v>Fort Worth</c:v>
                </c:pt>
              </c:strCache>
            </c:strRef>
          </c:cat>
          <c:val>
            <c:numRef>
              <c:f>'Summary Results'!$C$8:$E$8</c:f>
              <c:numCache>
                <c:formatCode>_("$"* #,##0_);_("$"* \(#,##0\);_("$"* "-"??_);_(@_)</c:formatCode>
                <c:ptCount val="3"/>
                <c:pt idx="0">
                  <c:v>47246.851088297866</c:v>
                </c:pt>
                <c:pt idx="1">
                  <c:v>-4952.9234930413659</c:v>
                </c:pt>
                <c:pt idx="2">
                  <c:v>13520.076455619499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FF-44EA-8124-70ACCC6B3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2062984"/>
        <c:axId val="752066056"/>
      </c:barChart>
      <c:catAx>
        <c:axId val="75206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066056"/>
        <c:crosses val="autoZero"/>
        <c:auto val="1"/>
        <c:lblAlgn val="ctr"/>
        <c:lblOffset val="100"/>
        <c:noMultiLvlLbl val="0"/>
      </c:catAx>
      <c:valAx>
        <c:axId val="752066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062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College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Results'!$C$12</c:f>
              <c:strCache>
                <c:ptCount val="1"/>
                <c:pt idx="0">
                  <c:v>Low Density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Results'!$C$12:$E$12</c:f>
              <c:strCache>
                <c:ptCount val="3"/>
                <c:pt idx="0">
                  <c:v>Low Density</c:v>
                </c:pt>
                <c:pt idx="1">
                  <c:v>Medium Density</c:v>
                </c:pt>
                <c:pt idx="2">
                  <c:v>High Density</c:v>
                </c:pt>
              </c:strCache>
            </c:strRef>
          </c:cat>
          <c:val>
            <c:numRef>
              <c:f>'Summary Results'!$C$13:$C$19</c:f>
              <c:numCache>
                <c:formatCode>_([$$-409]* #,##0_);_([$$-409]* \(#,##0\);_([$$-409]* "-"??_);_(@_)</c:formatCode>
                <c:ptCount val="7"/>
                <c:pt idx="0">
                  <c:v>218242.90133457302</c:v>
                </c:pt>
                <c:pt idx="1">
                  <c:v>4967.6268235211401</c:v>
                </c:pt>
                <c:pt idx="2">
                  <c:v>14106.4143218961</c:v>
                </c:pt>
                <c:pt idx="3">
                  <c:v>9582.0048972726072</c:v>
                </c:pt>
                <c:pt idx="4">
                  <c:v>212400</c:v>
                </c:pt>
                <c:pt idx="5">
                  <c:v>149529.60000000001</c:v>
                </c:pt>
                <c:pt idx="6">
                  <c:v>112147.2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1B-4A40-809D-4464E5D5BCED}"/>
            </c:ext>
          </c:extLst>
        </c:ser>
        <c:ser>
          <c:idx val="1"/>
          <c:order val="1"/>
          <c:tx>
            <c:strRef>
              <c:f>'Summary Results'!$D$12</c:f>
              <c:strCache>
                <c:ptCount val="1"/>
                <c:pt idx="0">
                  <c:v>Medium Density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Results'!$C$12:$E$12</c:f>
              <c:strCache>
                <c:ptCount val="3"/>
                <c:pt idx="0">
                  <c:v>Low Density</c:v>
                </c:pt>
                <c:pt idx="1">
                  <c:v>Medium Density</c:v>
                </c:pt>
                <c:pt idx="2">
                  <c:v>High Density</c:v>
                </c:pt>
              </c:strCache>
            </c:strRef>
          </c:cat>
          <c:val>
            <c:numRef>
              <c:f>'Summary Results'!$D$13:$D$19</c:f>
              <c:numCache>
                <c:formatCode>_([$$-409]* #,##0_);_([$$-409]* \(#,##0\);_([$$-409]* "-"??_);_(@_)</c:formatCode>
                <c:ptCount val="7"/>
                <c:pt idx="0">
                  <c:v>68438.540488193627</c:v>
                </c:pt>
                <c:pt idx="1">
                  <c:v>177.77921388028699</c:v>
                </c:pt>
                <c:pt idx="2">
                  <c:v>504.83406622696327</c:v>
                </c:pt>
                <c:pt idx="3">
                  <c:v>2832.5386989244644</c:v>
                </c:pt>
                <c:pt idx="4">
                  <c:v>4200.0000000000009</c:v>
                </c:pt>
                <c:pt idx="5">
                  <c:v>2956.8000000000006</c:v>
                </c:pt>
                <c:pt idx="6">
                  <c:v>2217.6000000000004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1B-4A40-809D-4464E5D5BCED}"/>
            </c:ext>
          </c:extLst>
        </c:ser>
        <c:ser>
          <c:idx val="2"/>
          <c:order val="2"/>
          <c:tx>
            <c:strRef>
              <c:f>'Summary Results'!$E$12</c:f>
              <c:strCache>
                <c:ptCount val="1"/>
                <c:pt idx="0">
                  <c:v>High Density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'Summary Results'!$C$12:$E$12</c:f>
              <c:strCache>
                <c:ptCount val="3"/>
                <c:pt idx="0">
                  <c:v>Low Density</c:v>
                </c:pt>
                <c:pt idx="1">
                  <c:v>Medium Density</c:v>
                </c:pt>
                <c:pt idx="2">
                  <c:v>High Density</c:v>
                </c:pt>
              </c:strCache>
            </c:strRef>
          </c:cat>
          <c:val>
            <c:numRef>
              <c:f>'Summary Results'!$E$13:$E$19</c:f>
              <c:numCache>
                <c:formatCode>_([$$-409]* #,##0_);_([$$-409]* \(#,##0\);_([$$-409]* "-"??_);_(@_)</c:formatCode>
                <c:ptCount val="7"/>
                <c:pt idx="0">
                  <c:v>229649.32474927197</c:v>
                </c:pt>
                <c:pt idx="1">
                  <c:v>121.7278056823621</c:v>
                </c:pt>
                <c:pt idx="2">
                  <c:v>345.66663770317547</c:v>
                </c:pt>
                <c:pt idx="3">
                  <c:v>9504.7409675020917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1B-4A40-809D-4464E5D5B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7486344"/>
        <c:axId val="1497488392"/>
      </c:barChart>
      <c:catAx>
        <c:axId val="1497486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488392"/>
        <c:crosses val="autoZero"/>
        <c:auto val="1"/>
        <c:lblAlgn val="ctr"/>
        <c:lblOffset val="100"/>
        <c:noMultiLvlLbl val="0"/>
      </c:catAx>
      <c:valAx>
        <c:axId val="1497488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[$$-409]* #,##0_);_([$$-409]* \(#,##0\);_([$$-409]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486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Results'!$C$22</c:f>
              <c:strCache>
                <c:ptCount val="1"/>
                <c:pt idx="0">
                  <c:v>Low Density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Results'!$B$23:$B$29</c:f>
              <c:strCache>
                <c:ptCount val="7"/>
                <c:pt idx="0">
                  <c:v>Public Service</c:v>
                </c:pt>
                <c:pt idx="1">
                  <c:v>Transportation &amp; Public Works</c:v>
                </c:pt>
                <c:pt idx="2">
                  <c:v>Library, Parks &amp; Recreation, and Other </c:v>
                </c:pt>
                <c:pt idx="3">
                  <c:v>Development-induced Arterial Road Maintenance</c:v>
                </c:pt>
                <c:pt idx="4">
                  <c:v>Local Street Capital Replacement</c:v>
                </c:pt>
                <c:pt idx="5">
                  <c:v>Waterline Capital Replacement</c:v>
                </c:pt>
                <c:pt idx="6">
                  <c:v>Sanitary Sewer Capital Replacement</c:v>
                </c:pt>
              </c:strCache>
            </c:strRef>
          </c:cat>
          <c:val>
            <c:numRef>
              <c:f>'Summary Results'!$C$23:$C$29</c:f>
              <c:numCache>
                <c:formatCode>_([$$-409]* #,##0_);_([$$-409]* \(#,##0\);_([$$-409]* "-"??_);_(@_)</c:formatCode>
                <c:ptCount val="7"/>
                <c:pt idx="0">
                  <c:v>246895.07232466323</c:v>
                </c:pt>
                <c:pt idx="1">
                  <c:v>6938.5565616243612</c:v>
                </c:pt>
                <c:pt idx="2">
                  <c:v>2258.8077744091333</c:v>
                </c:pt>
                <c:pt idx="3">
                  <c:v>46832.991263000127</c:v>
                </c:pt>
                <c:pt idx="4">
                  <c:v>253800.00000000003</c:v>
                </c:pt>
                <c:pt idx="5">
                  <c:v>178675.20000000004</c:v>
                </c:pt>
                <c:pt idx="6">
                  <c:v>134006.40000000002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4-4921-A527-B9A4AACFE7E5}"/>
            </c:ext>
          </c:extLst>
        </c:ser>
        <c:ser>
          <c:idx val="1"/>
          <c:order val="1"/>
          <c:tx>
            <c:strRef>
              <c:f>'Summary Results'!$D$22</c:f>
              <c:strCache>
                <c:ptCount val="1"/>
                <c:pt idx="0">
                  <c:v>Medium Density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Results'!$B$23:$B$29</c:f>
              <c:strCache>
                <c:ptCount val="7"/>
                <c:pt idx="0">
                  <c:v>Public Service</c:v>
                </c:pt>
                <c:pt idx="1">
                  <c:v>Transportation &amp; Public Works</c:v>
                </c:pt>
                <c:pt idx="2">
                  <c:v>Library, Parks &amp; Recreation, and Other </c:v>
                </c:pt>
                <c:pt idx="3">
                  <c:v>Development-induced Arterial Road Maintenance</c:v>
                </c:pt>
                <c:pt idx="4">
                  <c:v>Local Street Capital Replacement</c:v>
                </c:pt>
                <c:pt idx="5">
                  <c:v>Waterline Capital Replacement</c:v>
                </c:pt>
                <c:pt idx="6">
                  <c:v>Sanitary Sewer Capital Replacement</c:v>
                </c:pt>
              </c:strCache>
            </c:strRef>
          </c:cat>
          <c:val>
            <c:numRef>
              <c:f>'Summary Results'!$D$23:$D$29</c:f>
              <c:numCache>
                <c:formatCode>_([$$-409]* #,##0_);_([$$-409]* \(#,##0\);_([$$-409]* "-"??_);_(@_)</c:formatCode>
                <c:ptCount val="7"/>
                <c:pt idx="0">
                  <c:v>239691.23732314786</c:v>
                </c:pt>
                <c:pt idx="1">
                  <c:v>910.3918739151602</c:v>
                </c:pt>
                <c:pt idx="2">
                  <c:v>296.37291622467467</c:v>
                </c:pt>
                <c:pt idx="3">
                  <c:v>12015.222880229088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24-4921-A527-B9A4AACFE7E5}"/>
            </c:ext>
          </c:extLst>
        </c:ser>
        <c:ser>
          <c:idx val="2"/>
          <c:order val="2"/>
          <c:tx>
            <c:strRef>
              <c:f>'Summary Results'!$E$22</c:f>
              <c:strCache>
                <c:ptCount val="1"/>
                <c:pt idx="0">
                  <c:v>High Density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'Summary Results'!$B$23:$B$29</c:f>
              <c:strCache>
                <c:ptCount val="7"/>
                <c:pt idx="0">
                  <c:v>Public Service</c:v>
                </c:pt>
                <c:pt idx="1">
                  <c:v>Transportation &amp; Public Works</c:v>
                </c:pt>
                <c:pt idx="2">
                  <c:v>Library, Parks &amp; Recreation, and Other </c:v>
                </c:pt>
                <c:pt idx="3">
                  <c:v>Development-induced Arterial Road Maintenance</c:v>
                </c:pt>
                <c:pt idx="4">
                  <c:v>Local Street Capital Replacement</c:v>
                </c:pt>
                <c:pt idx="5">
                  <c:v>Waterline Capital Replacement</c:v>
                </c:pt>
                <c:pt idx="6">
                  <c:v>Sanitary Sewer Capital Replacement</c:v>
                </c:pt>
              </c:strCache>
            </c:strRef>
          </c:cat>
          <c:val>
            <c:numRef>
              <c:f>'Summary Results'!$E$23:$E$29</c:f>
              <c:numCache>
                <c:formatCode>_([$$-409]* #,##0_);_([$$-409]* \(#,##0\);_([$$-409]* "-"??_);_(@_)</c:formatCode>
                <c:ptCount val="7"/>
                <c:pt idx="0">
                  <c:v>11788.093638843337</c:v>
                </c:pt>
                <c:pt idx="1">
                  <c:v>48.94579967285808</c:v>
                </c:pt>
                <c:pt idx="2">
                  <c:v>15.934027754014767</c:v>
                </c:pt>
                <c:pt idx="3">
                  <c:v>883.69009721081613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24-4921-A527-B9A4AACFE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7486344"/>
        <c:axId val="1497488392"/>
      </c:barChart>
      <c:catAx>
        <c:axId val="1497486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488392"/>
        <c:crosses val="autoZero"/>
        <c:auto val="1"/>
        <c:lblAlgn val="ctr"/>
        <c:lblOffset val="100"/>
        <c:noMultiLvlLbl val="0"/>
      </c:catAx>
      <c:valAx>
        <c:axId val="1497488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[$$-409]* #,##0_);_([$$-409]* \(#,##0\);_([$$-409]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486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Fort Worth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Results'!$C$32</c:f>
              <c:strCache>
                <c:ptCount val="1"/>
                <c:pt idx="0">
                  <c:v>Low Density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Results'!$B$33:$B$39</c:f>
              <c:strCache>
                <c:ptCount val="7"/>
                <c:pt idx="0">
                  <c:v>Public Service</c:v>
                </c:pt>
                <c:pt idx="1">
                  <c:v>Transportation &amp; Public Works</c:v>
                </c:pt>
                <c:pt idx="2">
                  <c:v>Library, Parks &amp; Recreation, and Other </c:v>
                </c:pt>
                <c:pt idx="3">
                  <c:v>Development-induced Arterial Road Maintenance</c:v>
                </c:pt>
                <c:pt idx="4">
                  <c:v>Local Street Capital Replacement</c:v>
                </c:pt>
                <c:pt idx="5">
                  <c:v>Waterline Capital Replacement</c:v>
                </c:pt>
                <c:pt idx="6">
                  <c:v>Sanitary Sewer Capital Replacement</c:v>
                </c:pt>
              </c:strCache>
            </c:strRef>
          </c:cat>
          <c:val>
            <c:numRef>
              <c:f>'Summary Results'!$C$33:$C$39</c:f>
              <c:numCache>
                <c:formatCode>_([$$-409]* #,##0_);_([$$-409]* \(#,##0\);_([$$-409]* "-"??_);_(@_)</c:formatCode>
                <c:ptCount val="7"/>
                <c:pt idx="0">
                  <c:v>126354.05656675884</c:v>
                </c:pt>
                <c:pt idx="1">
                  <c:v>2581.8924925824963</c:v>
                </c:pt>
                <c:pt idx="2">
                  <c:v>4980.6565553961682</c:v>
                </c:pt>
                <c:pt idx="3">
                  <c:v>10996.928178862248</c:v>
                </c:pt>
                <c:pt idx="4">
                  <c:v>95400</c:v>
                </c:pt>
                <c:pt idx="5">
                  <c:v>67161.600000000006</c:v>
                </c:pt>
                <c:pt idx="6">
                  <c:v>50371.200000000004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98-4476-BA0C-89219441A501}"/>
            </c:ext>
          </c:extLst>
        </c:ser>
        <c:ser>
          <c:idx val="1"/>
          <c:order val="1"/>
          <c:tx>
            <c:strRef>
              <c:f>'Summary Results'!$D$32</c:f>
              <c:strCache>
                <c:ptCount val="1"/>
                <c:pt idx="0">
                  <c:v>Medium Density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Results'!$B$33:$B$39</c:f>
              <c:strCache>
                <c:ptCount val="7"/>
                <c:pt idx="0">
                  <c:v>Public Service</c:v>
                </c:pt>
                <c:pt idx="1">
                  <c:v>Transportation &amp; Public Works</c:v>
                </c:pt>
                <c:pt idx="2">
                  <c:v>Library, Parks &amp; Recreation, and Other </c:v>
                </c:pt>
                <c:pt idx="3">
                  <c:v>Development-induced Arterial Road Maintenance</c:v>
                </c:pt>
                <c:pt idx="4">
                  <c:v>Local Street Capital Replacement</c:v>
                </c:pt>
                <c:pt idx="5">
                  <c:v>Waterline Capital Replacement</c:v>
                </c:pt>
                <c:pt idx="6">
                  <c:v>Sanitary Sewer Capital Replacement</c:v>
                </c:pt>
              </c:strCache>
            </c:strRef>
          </c:cat>
          <c:val>
            <c:numRef>
              <c:f>'Summary Results'!$D$33:$D$39</c:f>
              <c:numCache>
                <c:formatCode>_([$$-409]* #,##0_);_([$$-409]* \(#,##0\);_([$$-409]* "-"??_);_(@_)</c:formatCode>
                <c:ptCount val="7"/>
                <c:pt idx="0">
                  <c:v>9090.2198968891244</c:v>
                </c:pt>
                <c:pt idx="1">
                  <c:v>47.083583253328023</c:v>
                </c:pt>
                <c:pt idx="2">
                  <c:v>90.827622860341265</c:v>
                </c:pt>
                <c:pt idx="3">
                  <c:v>808.64195385295329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98-4476-BA0C-89219441A501}"/>
            </c:ext>
          </c:extLst>
        </c:ser>
        <c:ser>
          <c:idx val="2"/>
          <c:order val="2"/>
          <c:tx>
            <c:strRef>
              <c:f>'Summary Results'!$E$32</c:f>
              <c:strCache>
                <c:ptCount val="1"/>
                <c:pt idx="0">
                  <c:v>High Density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'Summary Results'!$B$33:$B$39</c:f>
              <c:strCache>
                <c:ptCount val="7"/>
                <c:pt idx="0">
                  <c:v>Public Service</c:v>
                </c:pt>
                <c:pt idx="1">
                  <c:v>Transportation &amp; Public Works</c:v>
                </c:pt>
                <c:pt idx="2">
                  <c:v>Library, Parks &amp; Recreation, and Other </c:v>
                </c:pt>
                <c:pt idx="3">
                  <c:v>Development-induced Arterial Road Maintenance</c:v>
                </c:pt>
                <c:pt idx="4">
                  <c:v>Local Street Capital Replacement</c:v>
                </c:pt>
                <c:pt idx="5">
                  <c:v>Waterline Capital Replacement</c:v>
                </c:pt>
                <c:pt idx="6">
                  <c:v>Sanitary Sewer Capital Replacement</c:v>
                </c:pt>
              </c:strCache>
            </c:strRef>
          </c:cat>
          <c:val>
            <c:numRef>
              <c:f>'Summary Results'!$E$33:$E$39</c:f>
              <c:numCache>
                <c:formatCode>_([$$-409]* #,##0_);_([$$-409]* \(#,##0\);_([$$-409]* "-"??_);_(@_)</c:formatCode>
                <c:ptCount val="7"/>
                <c:pt idx="0">
                  <c:v>198166.79375218294</c:v>
                </c:pt>
                <c:pt idx="1">
                  <c:v>277.27950210459898</c:v>
                </c:pt>
                <c:pt idx="2">
                  <c:v>534.89212808117327</c:v>
                </c:pt>
                <c:pt idx="3">
                  <c:v>19504.506977879719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98-4476-BA0C-89219441A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7486344"/>
        <c:axId val="1497488392"/>
      </c:barChart>
      <c:catAx>
        <c:axId val="1497486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488392"/>
        <c:crosses val="autoZero"/>
        <c:auto val="1"/>
        <c:lblAlgn val="ctr"/>
        <c:lblOffset val="100"/>
        <c:noMultiLvlLbl val="0"/>
      </c:catAx>
      <c:valAx>
        <c:axId val="1497488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[$$-409]* #,##0_);_([$$-409]* \(#,##0\);_([$$-409]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486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Fiscal Productivity Per Unit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Results'!$M$6</c:f>
              <c:strCache>
                <c:ptCount val="1"/>
                <c:pt idx="0">
                  <c:v>Low Density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Results'!$N$4:$P$5</c:f>
              <c:strCache>
                <c:ptCount val="3"/>
                <c:pt idx="0">
                  <c:v>College Station</c:v>
                </c:pt>
                <c:pt idx="1">
                  <c:v>Fate</c:v>
                </c:pt>
                <c:pt idx="2">
                  <c:v>Fort Worth</c:v>
                </c:pt>
              </c:strCache>
            </c:strRef>
          </c:cat>
          <c:val>
            <c:numRef>
              <c:f>'Summary Results'!$N$6:$P$6</c:f>
              <c:numCache>
                <c:formatCode>_("$"* #,##0_);_("$"* \(#,##0\);_("$"* "-"??_);_(@_)</c:formatCode>
                <c:ptCount val="3"/>
                <c:pt idx="0">
                  <c:v>-855.92031863924319</c:v>
                </c:pt>
                <c:pt idx="1">
                  <c:v>-1536.7842234480029</c:v>
                </c:pt>
                <c:pt idx="2">
                  <c:v>-597.4839840294951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F-5C42-978C-B6EA24D67EA1}"/>
            </c:ext>
          </c:extLst>
        </c:ser>
        <c:ser>
          <c:idx val="1"/>
          <c:order val="1"/>
          <c:tx>
            <c:strRef>
              <c:f>'Summary Results'!$M$7</c:f>
              <c:strCache>
                <c:ptCount val="1"/>
                <c:pt idx="0">
                  <c:v>Medium Density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Results'!$N$4:$P$5</c:f>
              <c:strCache>
                <c:ptCount val="3"/>
                <c:pt idx="0">
                  <c:v>College Station</c:v>
                </c:pt>
                <c:pt idx="1">
                  <c:v>Fate</c:v>
                </c:pt>
                <c:pt idx="2">
                  <c:v>Fort Worth</c:v>
                </c:pt>
              </c:strCache>
            </c:strRef>
          </c:cat>
          <c:val>
            <c:numRef>
              <c:f>'Summary Results'!$N$7:$P$7</c:f>
              <c:numCache>
                <c:formatCode>_("$"* #,##0_);_("$"* \(#,##0\);_("$"* "-"??_);_(@_)</c:formatCode>
                <c:ptCount val="3"/>
                <c:pt idx="0">
                  <c:v>496.12217471371844</c:v>
                </c:pt>
                <c:pt idx="1">
                  <c:v>-402.26564205878901</c:v>
                </c:pt>
                <c:pt idx="2">
                  <c:v>2664.6716593144256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DF-5C42-978C-B6EA24D67EA1}"/>
            </c:ext>
          </c:extLst>
        </c:ser>
        <c:ser>
          <c:idx val="2"/>
          <c:order val="2"/>
          <c:tx>
            <c:strRef>
              <c:f>'Summary Results'!$M$8</c:f>
              <c:strCache>
                <c:ptCount val="1"/>
                <c:pt idx="0">
                  <c:v>High Density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'Summary Results'!$N$4:$P$5</c:f>
              <c:strCache>
                <c:ptCount val="3"/>
                <c:pt idx="0">
                  <c:v>College Station</c:v>
                </c:pt>
                <c:pt idx="1">
                  <c:v>Fate</c:v>
                </c:pt>
                <c:pt idx="2">
                  <c:v>Fort Worth</c:v>
                </c:pt>
              </c:strCache>
            </c:strRef>
          </c:cat>
          <c:val>
            <c:numRef>
              <c:f>'Summary Results'!$N$8:$P$8</c:f>
              <c:numCache>
                <c:formatCode>_("$"* #,##0_);_("$"* \(#,##0\);_("$"* "-"??_);_(@_)</c:formatCode>
                <c:ptCount val="3"/>
                <c:pt idx="0">
                  <c:v>336.36003258225298</c:v>
                </c:pt>
                <c:pt idx="1">
                  <c:v>-206.3718122100569</c:v>
                </c:pt>
                <c:pt idx="2">
                  <c:v>200.87856715482366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DF-5C42-978C-B6EA24D67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2062984"/>
        <c:axId val="752066056"/>
      </c:barChart>
      <c:catAx>
        <c:axId val="75206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066056"/>
        <c:crosses val="autoZero"/>
        <c:auto val="1"/>
        <c:lblAlgn val="ctr"/>
        <c:lblOffset val="100"/>
        <c:noMultiLvlLbl val="0"/>
      </c:catAx>
      <c:valAx>
        <c:axId val="752066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062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828675</xdr:colOff>
      <xdr:row>32</xdr:row>
      <xdr:rowOff>190500</xdr:rowOff>
    </xdr:from>
    <xdr:to>
      <xdr:col>10</xdr:col>
      <xdr:colOff>809625</xdr:colOff>
      <xdr:row>49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93F068-E7F5-02F2-4FC5-AD63AA2081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342900</xdr:colOff>
      <xdr:row>32</xdr:row>
      <xdr:rowOff>180975</xdr:rowOff>
    </xdr:from>
    <xdr:to>
      <xdr:col>16</xdr:col>
      <xdr:colOff>542925</xdr:colOff>
      <xdr:row>48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1E0E21-4DB2-4F7B-9542-302C2C46892E}"/>
            </a:ext>
            <a:ext uri="{147F2762-F138-4A5C-976F-8EAC2B608ADB}">
              <a16:predDERef xmlns:a16="http://schemas.microsoft.com/office/drawing/2014/main" pred="{C293F068-E7F5-02F2-4FC5-AD63AA208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32</xdr:row>
      <xdr:rowOff>161925</xdr:rowOff>
    </xdr:from>
    <xdr:to>
      <xdr:col>22</xdr:col>
      <xdr:colOff>9525</xdr:colOff>
      <xdr:row>49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3F4D02-C233-4067-93A1-5DE802FF2394}"/>
            </a:ext>
            <a:ext uri="{147F2762-F138-4A5C-976F-8EAC2B608ADB}">
              <a16:predDERef xmlns:a16="http://schemas.microsoft.com/office/drawing/2014/main" pred="{591E0E21-4DB2-4F7B-9542-302C2C468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809625</xdr:colOff>
      <xdr:row>2</xdr:row>
      <xdr:rowOff>171450</xdr:rowOff>
    </xdr:from>
    <xdr:to>
      <xdr:col>10</xdr:col>
      <xdr:colOff>800100</xdr:colOff>
      <xdr:row>16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D835B21-9249-E6A7-B967-8EF83250E6C1}"/>
            </a:ext>
            <a:ext uri="{147F2762-F138-4A5C-976F-8EAC2B608ADB}">
              <a16:predDERef xmlns:a16="http://schemas.microsoft.com/office/drawing/2014/main" pred="{4C3F4D02-C233-4067-93A1-5DE802FF2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800100</xdr:colOff>
      <xdr:row>17</xdr:row>
      <xdr:rowOff>133350</xdr:rowOff>
    </xdr:from>
    <xdr:to>
      <xdr:col>11</xdr:col>
      <xdr:colOff>152400</xdr:colOff>
      <xdr:row>32</xdr:row>
      <xdr:rowOff>57150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A4B6D238-B3EE-05A2-7D48-15413BAED3D1}"/>
            </a:ext>
            <a:ext uri="{147F2762-F138-4A5C-976F-8EAC2B608ADB}">
              <a16:predDERef xmlns:a16="http://schemas.microsoft.com/office/drawing/2014/main" pred="{5D835B21-9249-E6A7-B967-8EF83250E6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276225</xdr:colOff>
      <xdr:row>17</xdr:row>
      <xdr:rowOff>133350</xdr:rowOff>
    </xdr:from>
    <xdr:to>
      <xdr:col>16</xdr:col>
      <xdr:colOff>523875</xdr:colOff>
      <xdr:row>31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60324F8-4513-4DC1-8AE0-D8A8F69957C4}"/>
            </a:ext>
            <a:ext uri="{147F2762-F138-4A5C-976F-8EAC2B608ADB}">
              <a16:predDERef xmlns:a16="http://schemas.microsoft.com/office/drawing/2014/main" pred="{A4B6D238-B3EE-05A2-7D48-15413BAED3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819150</xdr:colOff>
      <xdr:row>17</xdr:row>
      <xdr:rowOff>104775</xdr:rowOff>
    </xdr:from>
    <xdr:to>
      <xdr:col>22</xdr:col>
      <xdr:colOff>0</xdr:colOff>
      <xdr:row>31</xdr:row>
      <xdr:rowOff>161925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306657C-DFA7-49FD-A677-11E5418F2BEF}"/>
            </a:ext>
            <a:ext uri="{147F2762-F138-4A5C-976F-8EAC2B608ADB}">
              <a16:predDERef xmlns:a16="http://schemas.microsoft.com/office/drawing/2014/main" pred="{260324F8-4513-4DC1-8AE0-D8A8F69957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0</xdr:colOff>
      <xdr:row>3</xdr:row>
      <xdr:rowOff>0</xdr:rowOff>
    </xdr:from>
    <xdr:to>
      <xdr:col>22</xdr:col>
      <xdr:colOff>638175</xdr:colOff>
      <xdr:row>17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F8179E5-5616-104C-BB72-86C2B584720C}"/>
            </a:ext>
            <a:ext uri="{147F2762-F138-4A5C-976F-8EAC2B608ADB}">
              <a16:predDERef xmlns:a16="http://schemas.microsoft.com/office/drawing/2014/main" pred="{4C3F4D02-C233-4067-93A1-5DE802FF2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2207081-0E35-5348-9859-8B158D80B1BA}" name="Table815" displayName="Table815" ref="E1:I25" totalsRowShown="0" dataDxfId="23">
  <tableColumns count="5">
    <tableColumn id="1" xr3:uid="{936DB507-4709-974D-9D58-785B255190C3}" name="Attributes" dataDxfId="22"/>
    <tableColumn id="5" xr3:uid="{B3614963-E7CD-494D-A025-AF4788CDEF25}" name="Units" dataDxfId="21"/>
    <tableColumn id="2" xr3:uid="{F977791A-2FBF-CC45-85BE-39B12C4DE8C6}" name="Low Density Development" dataDxfId="20"/>
    <tableColumn id="3" xr3:uid="{58055CF4-CAA1-494C-B525-D530A8F4154B}" name="Medium Density Development" dataDxfId="19"/>
    <tableColumn id="4" xr3:uid="{381A6E2B-058A-A146-B96F-21E34B8A7D7D}" name="High Density Development" dataDxfId="18"/>
  </tableColumns>
  <tableStyleInfo name="TableStyleDark2" showFirstColumn="1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CA1699-0A2F-9A4B-B530-228EA75B508C}" name="Table81523" displayName="Table81523" ref="E1:I25" totalsRowShown="0" dataDxfId="17">
  <tableColumns count="5">
    <tableColumn id="1" xr3:uid="{8134AE0B-2DC6-344E-B27B-0DD157555382}" name="Attributes" dataDxfId="16"/>
    <tableColumn id="5" xr3:uid="{435C4638-1A51-9544-BD87-ECC675ECC22A}" name="Units" dataDxfId="15"/>
    <tableColumn id="2" xr3:uid="{01ED2B91-7B88-7A40-972E-055188B3CD2D}" name="Low Density Development" dataDxfId="14"/>
    <tableColumn id="3" xr3:uid="{3982981D-C8F1-DD41-928F-4F532822C770}" name="Medium Density Development" dataDxfId="13"/>
    <tableColumn id="4" xr3:uid="{B65A7E92-BC3D-6F42-931E-91F09045388F}" name="High Density Development" dataDxfId="12"/>
  </tableColumns>
  <tableStyleInfo name="TableStyleDark2" showFirstColumn="1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063BE0-BCEA-B946-B356-F710685C3B5F}" name="Table8152" displayName="Table8152" ref="E1:I25" totalsRowShown="0" dataDxfId="11">
  <tableColumns count="5">
    <tableColumn id="1" xr3:uid="{171DFFE7-D2FE-8943-92A2-AF9E18062E1A}" name="Attributes" dataDxfId="10"/>
    <tableColumn id="5" xr3:uid="{254961FD-F05B-834A-BD69-73E095419307}" name="Units" dataDxfId="9"/>
    <tableColumn id="2" xr3:uid="{2AD3B273-81B9-2341-8546-2264CBC09583}" name="Low Density Development" dataDxfId="8"/>
    <tableColumn id="3" xr3:uid="{07CCA9C5-77B2-6C4F-BF50-5020E9BA41C7}" name="Medium Density Development" dataDxfId="7"/>
    <tableColumn id="4" xr3:uid="{FB72EB1E-EB83-0540-BDA4-B87514820D46}" name="High Density Development" dataDxfId="6"/>
  </tableColumns>
  <tableStyleInfo name="TableStyleDark2" showFirstColumn="1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96C8FE4-1669-7141-A99D-6E178C154BB5}">
  <we:reference id="8bc018e3-f345-40d4-8f1d-97951765d531" version="3.0.0.0" store="EXCatalog" storeType="EXCatalog"/>
  <we:alternateReferences>
    <we:reference id="WA104380862" version="3.0.0.0" store="en-US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C2F2F-BE88-044F-AB2E-10C430DD8335}">
  <dimension ref="A1:I68"/>
  <sheetViews>
    <sheetView workbookViewId="0">
      <selection activeCell="E30" sqref="E30"/>
    </sheetView>
  </sheetViews>
  <sheetFormatPr baseColWidth="10" defaultColWidth="11" defaultRowHeight="16" x14ac:dyDescent="0.2"/>
  <cols>
    <col min="1" max="1" width="60" bestFit="1" customWidth="1"/>
    <col min="2" max="2" width="16.5" customWidth="1"/>
    <col min="3" max="3" width="20.6640625" customWidth="1"/>
    <col min="4" max="4" width="20" customWidth="1"/>
    <col min="5" max="5" width="42.6640625" bestFit="1" customWidth="1"/>
    <col min="6" max="6" width="11.33203125" bestFit="1" customWidth="1"/>
    <col min="7" max="7" width="36.1640625" customWidth="1"/>
    <col min="8" max="8" width="36.1640625" bestFit="1" customWidth="1"/>
    <col min="9" max="9" width="33.6640625" bestFit="1" customWidth="1"/>
  </cols>
  <sheetData>
    <row r="1" spans="1:9" x14ac:dyDescent="0.2">
      <c r="A1" s="5" t="s">
        <v>0</v>
      </c>
      <c r="B1" s="5" t="s">
        <v>1</v>
      </c>
      <c r="C1" s="5" t="s">
        <v>2</v>
      </c>
      <c r="E1" t="s">
        <v>3</v>
      </c>
      <c r="F1" s="1" t="s">
        <v>4</v>
      </c>
      <c r="G1" s="64" t="s">
        <v>5</v>
      </c>
      <c r="H1" s="64" t="s">
        <v>6</v>
      </c>
      <c r="I1" s="64" t="s">
        <v>7</v>
      </c>
    </row>
    <row r="2" spans="1:9" x14ac:dyDescent="0.2">
      <c r="A2" s="67" t="s">
        <v>8</v>
      </c>
      <c r="B2" s="23">
        <v>28715</v>
      </c>
      <c r="C2" s="73">
        <f>B2/$B$4</f>
        <v>0.93885891777014874</v>
      </c>
      <c r="E2" s="19" t="s">
        <v>9</v>
      </c>
      <c r="F2" s="11"/>
      <c r="G2" s="25"/>
      <c r="H2" s="25"/>
      <c r="I2" s="12"/>
    </row>
    <row r="3" spans="1:9" ht="18" thickBot="1" x14ac:dyDescent="0.25">
      <c r="A3" s="68" t="s">
        <v>10</v>
      </c>
      <c r="B3" s="24">
        <v>1870</v>
      </c>
      <c r="C3" s="72">
        <f>B3/$B$4</f>
        <v>6.1141082229851235E-2</v>
      </c>
      <c r="E3" s="11" t="s">
        <v>11</v>
      </c>
      <c r="F3" s="11"/>
      <c r="G3" s="34" t="s">
        <v>12</v>
      </c>
      <c r="H3" s="35" t="s">
        <v>13</v>
      </c>
      <c r="I3" s="36" t="s">
        <v>14</v>
      </c>
    </row>
    <row r="4" spans="1:9" ht="18" thickTop="1" x14ac:dyDescent="0.2">
      <c r="A4" s="69" t="s">
        <v>15</v>
      </c>
      <c r="B4" s="70">
        <f>SUM(B2:B3)</f>
        <v>30585</v>
      </c>
      <c r="C4" s="71">
        <f>SUM(C2:C3)</f>
        <v>1</v>
      </c>
      <c r="E4" s="13" t="s">
        <v>16</v>
      </c>
      <c r="F4" s="13"/>
      <c r="G4" s="37" t="s">
        <v>17</v>
      </c>
      <c r="H4" s="38" t="s">
        <v>18</v>
      </c>
      <c r="I4" s="39" t="s">
        <v>19</v>
      </c>
    </row>
    <row r="5" spans="1:9" x14ac:dyDescent="0.2">
      <c r="E5" s="11" t="s">
        <v>20</v>
      </c>
      <c r="F5" s="11" t="s">
        <v>21</v>
      </c>
      <c r="G5" s="40">
        <v>87.74</v>
      </c>
      <c r="H5" s="40">
        <v>3.14</v>
      </c>
      <c r="I5" s="41">
        <v>2.15</v>
      </c>
    </row>
    <row r="6" spans="1:9" x14ac:dyDescent="0.2">
      <c r="A6" s="5" t="s">
        <v>22</v>
      </c>
      <c r="B6" s="5" t="s">
        <v>1</v>
      </c>
      <c r="C6" s="5" t="s">
        <v>2</v>
      </c>
      <c r="E6" s="13" t="s">
        <v>23</v>
      </c>
      <c r="F6" s="13" t="s">
        <v>4</v>
      </c>
      <c r="G6" s="59">
        <f>B52</f>
        <v>287</v>
      </c>
      <c r="H6" s="59">
        <f>C52</f>
        <v>90</v>
      </c>
      <c r="I6" s="59">
        <f>D52</f>
        <v>302</v>
      </c>
    </row>
    <row r="7" spans="1:9" x14ac:dyDescent="0.2">
      <c r="A7" s="67" t="s">
        <v>8</v>
      </c>
      <c r="B7" s="32">
        <v>22574</v>
      </c>
      <c r="C7" s="73">
        <f>B7/$B$9</f>
        <v>0.7883359525056749</v>
      </c>
      <c r="E7" s="14" t="s">
        <v>24</v>
      </c>
      <c r="F7" s="14" t="s">
        <v>25</v>
      </c>
      <c r="G7" s="26">
        <f>G6/G5</f>
        <v>3.2710280373831777</v>
      </c>
      <c r="H7" s="26">
        <f t="shared" ref="H7:I7" si="0">H6/H5</f>
        <v>28.662420382165603</v>
      </c>
      <c r="I7" s="15">
        <f t="shared" si="0"/>
        <v>140.46511627906978</v>
      </c>
    </row>
    <row r="8" spans="1:9" ht="17" thickBot="1" x14ac:dyDescent="0.25">
      <c r="A8" s="68" t="s">
        <v>10</v>
      </c>
      <c r="B8" s="33">
        <v>6061</v>
      </c>
      <c r="C8" s="72">
        <f>B8/$B$9</f>
        <v>0.21166404749432513</v>
      </c>
      <c r="E8" s="13"/>
      <c r="F8" s="13"/>
      <c r="G8" s="27"/>
      <c r="H8" s="27"/>
      <c r="I8" s="20"/>
    </row>
    <row r="9" spans="1:9" ht="17" thickTop="1" x14ac:dyDescent="0.2">
      <c r="A9" s="69" t="s">
        <v>15</v>
      </c>
      <c r="B9" s="70">
        <f>SUM(B7:B8)</f>
        <v>28635</v>
      </c>
      <c r="C9" s="71">
        <f>SUM(C7:C8)</f>
        <v>1</v>
      </c>
      <c r="E9" s="21" t="s">
        <v>26</v>
      </c>
      <c r="F9" s="13"/>
      <c r="G9" s="27"/>
      <c r="H9" s="27"/>
      <c r="I9" s="20"/>
    </row>
    <row r="10" spans="1:9" x14ac:dyDescent="0.2">
      <c r="E10" s="11" t="s">
        <v>109</v>
      </c>
      <c r="F10" s="11" t="s">
        <v>27</v>
      </c>
      <c r="G10" s="42">
        <v>92640730</v>
      </c>
      <c r="H10" s="42">
        <v>24553211</v>
      </c>
      <c r="I10" s="43">
        <v>66500000</v>
      </c>
    </row>
    <row r="11" spans="1:9" x14ac:dyDescent="0.2">
      <c r="A11" s="7" t="s">
        <v>28</v>
      </c>
      <c r="B11" s="58">
        <v>44029</v>
      </c>
      <c r="E11" s="14" t="s">
        <v>110</v>
      </c>
      <c r="F11" s="14" t="s">
        <v>27</v>
      </c>
      <c r="G11" s="28">
        <f>G10*Assumptions!$B$2</f>
        <v>475326.61592780001</v>
      </c>
      <c r="H11" s="28">
        <f>H10*Assumptions!$B$2</f>
        <v>125979.08819146</v>
      </c>
      <c r="I11" s="16">
        <f>I10*Assumptions!$B$2</f>
        <v>341202.19</v>
      </c>
    </row>
    <row r="12" spans="1:9" x14ac:dyDescent="0.2">
      <c r="E12" s="13"/>
      <c r="F12" s="13"/>
      <c r="G12" s="29"/>
      <c r="H12" s="29"/>
      <c r="I12" s="17"/>
    </row>
    <row r="13" spans="1:9" x14ac:dyDescent="0.2">
      <c r="E13" s="21" t="s">
        <v>29</v>
      </c>
      <c r="F13" s="13"/>
      <c r="G13" s="29"/>
      <c r="H13" s="29"/>
      <c r="I13" s="17"/>
    </row>
    <row r="14" spans="1:9" x14ac:dyDescent="0.2">
      <c r="A14" s="45" t="s">
        <v>30</v>
      </c>
      <c r="B14" s="45" t="s">
        <v>1</v>
      </c>
      <c r="C14" s="45" t="s">
        <v>2</v>
      </c>
      <c r="E14" s="104" t="s">
        <v>31</v>
      </c>
      <c r="F14" s="104" t="s">
        <v>27</v>
      </c>
      <c r="G14" s="107">
        <f>G6*$B$30</f>
        <v>218242.90133457302</v>
      </c>
      <c r="H14" s="110">
        <f>H6*$B$30</f>
        <v>68438.540488193627</v>
      </c>
      <c r="I14" s="107">
        <f>I6*$B$30</f>
        <v>229649.32474927197</v>
      </c>
    </row>
    <row r="15" spans="1:9" x14ac:dyDescent="0.2">
      <c r="A15" s="74" t="s">
        <v>32</v>
      </c>
      <c r="B15" s="46">
        <v>40774749</v>
      </c>
      <c r="C15" s="78">
        <f>B15/$B$18</f>
        <v>0.35747711674287325</v>
      </c>
      <c r="E15" s="105" t="s">
        <v>33</v>
      </c>
      <c r="F15" s="105" t="s">
        <v>27</v>
      </c>
      <c r="G15" s="108">
        <f>G5*$B$45</f>
        <v>4967.6268235211401</v>
      </c>
      <c r="H15" s="111">
        <f>H5*$B$45</f>
        <v>177.77921388028699</v>
      </c>
      <c r="I15" s="108">
        <f>I5*$B$45</f>
        <v>121.7278056823621</v>
      </c>
    </row>
    <row r="16" spans="1:9" x14ac:dyDescent="0.2">
      <c r="A16" s="74" t="s">
        <v>34</v>
      </c>
      <c r="B16" s="46">
        <v>41443571</v>
      </c>
      <c r="C16" s="78">
        <f>B16/$B$18</f>
        <v>0.36334075946386712</v>
      </c>
      <c r="E16" s="105" t="s">
        <v>35</v>
      </c>
      <c r="F16" s="105" t="s">
        <v>27</v>
      </c>
      <c r="G16" s="108">
        <f>G5*$B$47</f>
        <v>14106.4143218961</v>
      </c>
      <c r="H16" s="108">
        <f t="shared" ref="H16:I16" si="1">H5*$B$47</f>
        <v>504.83406622696327</v>
      </c>
      <c r="I16" s="108">
        <f t="shared" si="1"/>
        <v>345.66663770317547</v>
      </c>
    </row>
    <row r="17" spans="1:9" ht="17" thickBot="1" x14ac:dyDescent="0.25">
      <c r="A17" s="75" t="s">
        <v>36</v>
      </c>
      <c r="B17" s="77">
        <f>B18-B15-B16</f>
        <v>31844223</v>
      </c>
      <c r="C17" s="79">
        <f>B17/$B$18</f>
        <v>0.27918212379325963</v>
      </c>
      <c r="E17" s="106" t="s">
        <v>37</v>
      </c>
      <c r="F17" s="106" t="s">
        <v>27</v>
      </c>
      <c r="G17" s="113">
        <f>B54*$B$41*$C$15</f>
        <v>9582.0048972726072</v>
      </c>
      <c r="H17" s="113">
        <f>C54*$B$41*$C$15</f>
        <v>2832.5386989244644</v>
      </c>
      <c r="I17" s="113">
        <f>D54*$B$41*$C$15</f>
        <v>9504.7409675020917</v>
      </c>
    </row>
    <row r="18" spans="1:9" ht="17" thickTop="1" x14ac:dyDescent="0.2">
      <c r="A18" s="76" t="s">
        <v>15</v>
      </c>
      <c r="B18" s="57">
        <v>114062543</v>
      </c>
      <c r="C18" s="80">
        <f>SUM(C15:C17)</f>
        <v>1</v>
      </c>
      <c r="E18" s="106" t="s">
        <v>38</v>
      </c>
      <c r="F18" s="106" t="s">
        <v>27</v>
      </c>
      <c r="G18" s="109">
        <f>B58</f>
        <v>212400</v>
      </c>
      <c r="H18" s="112">
        <f>C58</f>
        <v>4200.0000000000009</v>
      </c>
      <c r="I18" s="113">
        <f>D58</f>
        <v>0</v>
      </c>
    </row>
    <row r="19" spans="1:9" x14ac:dyDescent="0.2">
      <c r="E19" s="106" t="s">
        <v>39</v>
      </c>
      <c r="F19" s="106" t="s">
        <v>27</v>
      </c>
      <c r="G19" s="109">
        <f>B63</f>
        <v>149529.60000000001</v>
      </c>
      <c r="H19" s="112">
        <f>C63</f>
        <v>2956.8000000000006</v>
      </c>
      <c r="I19" s="109">
        <f>D63</f>
        <v>0</v>
      </c>
    </row>
    <row r="20" spans="1:9" x14ac:dyDescent="0.2">
      <c r="E20" s="106" t="s">
        <v>40</v>
      </c>
      <c r="F20" s="106" t="s">
        <v>27</v>
      </c>
      <c r="G20" s="109">
        <f>B68</f>
        <v>112147.2</v>
      </c>
      <c r="H20" s="109">
        <f>C68</f>
        <v>2217.6000000000004</v>
      </c>
      <c r="I20" s="109">
        <f>D68</f>
        <v>0</v>
      </c>
    </row>
    <row r="21" spans="1:9" x14ac:dyDescent="0.2">
      <c r="A21" s="54" t="s">
        <v>41</v>
      </c>
      <c r="B21" s="54" t="s">
        <v>1</v>
      </c>
      <c r="C21" s="54" t="s">
        <v>2</v>
      </c>
      <c r="E21" s="114" t="s">
        <v>15</v>
      </c>
      <c r="F21" s="115" t="s">
        <v>27</v>
      </c>
      <c r="G21" s="116">
        <f>SUM(G14:G20)</f>
        <v>720975.7473772628</v>
      </c>
      <c r="H21" s="116">
        <f t="shared" ref="H21:I21" si="2">SUM(H14:H20)</f>
        <v>81328.092467225346</v>
      </c>
      <c r="I21" s="116">
        <f t="shared" si="2"/>
        <v>239621.46016015959</v>
      </c>
    </row>
    <row r="22" spans="1:9" ht="17" thickBot="1" x14ac:dyDescent="0.25">
      <c r="A22" s="81" t="s">
        <v>42</v>
      </c>
      <c r="B22" s="55">
        <f>31686030</f>
        <v>31686030</v>
      </c>
      <c r="C22" s="85">
        <f>B22/$B$25</f>
        <v>0.31762842399402902</v>
      </c>
      <c r="E22" s="18"/>
      <c r="F22" s="18"/>
      <c r="G22" s="30"/>
      <c r="H22" s="30"/>
      <c r="I22" s="22"/>
    </row>
    <row r="23" spans="1:9" ht="17" thickTop="1" x14ac:dyDescent="0.2">
      <c r="A23" s="81" t="s">
        <v>43</v>
      </c>
      <c r="B23" s="55">
        <f>25966792</f>
        <v>25966792</v>
      </c>
      <c r="C23" s="85">
        <f>B23/$B$25</f>
        <v>0.26029739980492222</v>
      </c>
      <c r="E23" s="117" t="s">
        <v>44</v>
      </c>
      <c r="F23" s="118"/>
      <c r="G23" s="119"/>
      <c r="H23" s="119"/>
      <c r="I23" s="120"/>
    </row>
    <row r="24" spans="1:9" ht="17" thickBot="1" x14ac:dyDescent="0.25">
      <c r="A24" s="82" t="s">
        <v>36</v>
      </c>
      <c r="B24" s="56">
        <f>121032587-SUM(B22:B23)-B37</f>
        <v>42105347</v>
      </c>
      <c r="C24" s="86">
        <f>B24/$B$25</f>
        <v>0.42207417620104876</v>
      </c>
      <c r="E24" s="13" t="s">
        <v>45</v>
      </c>
      <c r="F24" s="13" t="s">
        <v>46</v>
      </c>
      <c r="G24" s="29">
        <f>(G11-G21)/G5</f>
        <v>-2799.7393600349078</v>
      </c>
      <c r="H24" s="29">
        <f>(H11-H21)/H5</f>
        <v>14220.062332558808</v>
      </c>
      <c r="I24" s="17">
        <f>(I11-I21)/I5</f>
        <v>47246.851088297866</v>
      </c>
    </row>
    <row r="25" spans="1:9" ht="17" thickTop="1" x14ac:dyDescent="0.2">
      <c r="A25" s="83" t="s">
        <v>15</v>
      </c>
      <c r="B25" s="84">
        <f>SUM(B22:B24)</f>
        <v>99758169</v>
      </c>
      <c r="C25" s="87">
        <f>SUM(C22:C24)</f>
        <v>1</v>
      </c>
      <c r="E25" s="14" t="s">
        <v>47</v>
      </c>
      <c r="F25" s="14" t="s">
        <v>48</v>
      </c>
      <c r="G25" s="31">
        <f>(G11-G21)/G6</f>
        <v>-855.92031863924319</v>
      </c>
      <c r="H25" s="31">
        <f>(H11-H21)/H6</f>
        <v>496.12217471371844</v>
      </c>
      <c r="I25" s="16">
        <f>(I11-I21)/I6</f>
        <v>336.36003258225298</v>
      </c>
    </row>
    <row r="26" spans="1:9" x14ac:dyDescent="0.2">
      <c r="A26" t="s">
        <v>49</v>
      </c>
    </row>
    <row r="28" spans="1:9" x14ac:dyDescent="0.2">
      <c r="A28" s="52" t="s">
        <v>50</v>
      </c>
      <c r="B28" s="53">
        <f>B25*C15</f>
        <v>35661262.62566828</v>
      </c>
    </row>
    <row r="29" spans="1:9" x14ac:dyDescent="0.2">
      <c r="A29" s="52" t="s">
        <v>51</v>
      </c>
      <c r="B29" s="53">
        <f>B28*C2</f>
        <v>33480894.435051974</v>
      </c>
    </row>
    <row r="30" spans="1:9" x14ac:dyDescent="0.2">
      <c r="A30" s="52" t="s">
        <v>52</v>
      </c>
      <c r="B30" s="53">
        <f>B29/B11</f>
        <v>760.42822764659593</v>
      </c>
    </row>
    <row r="31" spans="1:9" ht="17" customHeight="1" x14ac:dyDescent="0.2"/>
    <row r="33" spans="1:9" x14ac:dyDescent="0.2">
      <c r="A33" s="47" t="s">
        <v>53</v>
      </c>
      <c r="B33" s="47" t="s">
        <v>1</v>
      </c>
      <c r="C33" s="47" t="s">
        <v>2</v>
      </c>
    </row>
    <row r="34" spans="1:9" x14ac:dyDescent="0.2">
      <c r="A34" s="88" t="s">
        <v>33</v>
      </c>
      <c r="B34" s="48">
        <v>8395839</v>
      </c>
      <c r="C34" s="92">
        <f>B34/$B$37</f>
        <v>0.39464482647656918</v>
      </c>
    </row>
    <row r="35" spans="1:9" x14ac:dyDescent="0.2">
      <c r="A35" s="88" t="s">
        <v>54</v>
      </c>
      <c r="B35" s="48">
        <v>1430953</v>
      </c>
      <c r="C35" s="92">
        <f>B35/$B$37</f>
        <v>6.7261675501534279E-2</v>
      </c>
    </row>
    <row r="36" spans="1:9" ht="17" thickBot="1" x14ac:dyDescent="0.25">
      <c r="A36" s="89" t="s">
        <v>55</v>
      </c>
      <c r="B36" s="49">
        <v>11447626</v>
      </c>
      <c r="C36" s="93">
        <f>B36/$B$37</f>
        <v>0.53809349802189654</v>
      </c>
      <c r="G36" s="66"/>
      <c r="H36" s="66"/>
      <c r="I36" s="66"/>
    </row>
    <row r="37" spans="1:9" ht="17" thickTop="1" x14ac:dyDescent="0.2">
      <c r="A37" s="90" t="s">
        <v>15</v>
      </c>
      <c r="B37" s="91">
        <f>SUM(B34:B36)</f>
        <v>21274418</v>
      </c>
      <c r="C37" s="94">
        <f>SUBTOTAL(109,C34:C36)</f>
        <v>1</v>
      </c>
    </row>
    <row r="38" spans="1:9" x14ac:dyDescent="0.2">
      <c r="A38" t="s">
        <v>56</v>
      </c>
    </row>
    <row r="40" spans="1:9" x14ac:dyDescent="0.2">
      <c r="A40" s="47" t="s">
        <v>57</v>
      </c>
      <c r="B40" s="47" t="s">
        <v>1</v>
      </c>
    </row>
    <row r="41" spans="1:9" x14ac:dyDescent="0.2">
      <c r="A41" s="88" t="s">
        <v>58</v>
      </c>
      <c r="B41" s="50">
        <v>3860599</v>
      </c>
    </row>
    <row r="42" spans="1:9" x14ac:dyDescent="0.2">
      <c r="A42" s="88" t="s">
        <v>59</v>
      </c>
      <c r="B42" s="92">
        <f>B41/B34</f>
        <v>0.45982289560340545</v>
      </c>
      <c r="F42" s="3"/>
    </row>
    <row r="44" spans="1:9" x14ac:dyDescent="0.2">
      <c r="A44" s="44" t="s">
        <v>60</v>
      </c>
      <c r="B44" s="51">
        <f>(B34-B41)*C15</f>
        <v>1621244.5189369484</v>
      </c>
    </row>
    <row r="45" spans="1:9" x14ac:dyDescent="0.2">
      <c r="A45" s="44" t="s">
        <v>61</v>
      </c>
      <c r="B45" s="51">
        <f>B44/B9</f>
        <v>56.61758403830796</v>
      </c>
    </row>
    <row r="46" spans="1:9" x14ac:dyDescent="0.2">
      <c r="A46" s="44" t="s">
        <v>62</v>
      </c>
      <c r="B46" s="51">
        <f>(B35+B36)*C15</f>
        <v>4603797.2886653161</v>
      </c>
    </row>
    <row r="47" spans="1:9" x14ac:dyDescent="0.2">
      <c r="A47" s="44" t="s">
        <v>63</v>
      </c>
      <c r="B47" s="51">
        <f>B46/B9</f>
        <v>160.77518032705837</v>
      </c>
    </row>
    <row r="50" spans="1:4" ht="34" x14ac:dyDescent="0.2">
      <c r="A50" s="121" t="s">
        <v>64</v>
      </c>
      <c r="B50" s="122" t="s">
        <v>5</v>
      </c>
      <c r="C50" s="122" t="s">
        <v>6</v>
      </c>
      <c r="D50" s="122" t="s">
        <v>7</v>
      </c>
    </row>
    <row r="51" spans="1:4" ht="17" x14ac:dyDescent="0.2">
      <c r="A51" s="127" t="s">
        <v>65</v>
      </c>
      <c r="B51" s="128">
        <v>2015</v>
      </c>
      <c r="C51" s="128">
        <v>2018</v>
      </c>
      <c r="D51" s="128">
        <v>2018</v>
      </c>
    </row>
    <row r="52" spans="1:4" ht="17" x14ac:dyDescent="0.2">
      <c r="A52" s="127" t="s">
        <v>66</v>
      </c>
      <c r="B52" s="128">
        <v>287</v>
      </c>
      <c r="C52" s="128">
        <v>90</v>
      </c>
      <c r="D52" s="128">
        <v>302</v>
      </c>
    </row>
    <row r="53" spans="1:4" ht="34" x14ac:dyDescent="0.2">
      <c r="A53" s="127" t="s">
        <v>67</v>
      </c>
      <c r="B53" s="129">
        <v>41336</v>
      </c>
      <c r="C53" s="129">
        <v>43850</v>
      </c>
      <c r="D53" s="129">
        <v>43850</v>
      </c>
    </row>
    <row r="54" spans="1:4" ht="17" x14ac:dyDescent="0.2">
      <c r="A54" s="127" t="s">
        <v>68</v>
      </c>
      <c r="B54" s="130">
        <f>B52/B53</f>
        <v>6.9431004451325721E-3</v>
      </c>
      <c r="C54" s="130">
        <f t="shared" ref="C54:D54" si="3">C52/C53</f>
        <v>2.0524515393386543E-3</v>
      </c>
      <c r="D54" s="130">
        <f t="shared" si="3"/>
        <v>6.887115165336374E-3</v>
      </c>
    </row>
    <row r="56" spans="1:4" ht="34" x14ac:dyDescent="0.2">
      <c r="A56" s="125" t="s">
        <v>69</v>
      </c>
      <c r="B56" s="123" t="s">
        <v>5</v>
      </c>
      <c r="C56" s="124" t="s">
        <v>6</v>
      </c>
      <c r="D56" s="124" t="s">
        <v>7</v>
      </c>
    </row>
    <row r="57" spans="1:4" x14ac:dyDescent="0.2">
      <c r="A57" s="96" t="s">
        <v>70</v>
      </c>
      <c r="B57" s="65">
        <v>7.08</v>
      </c>
      <c r="C57" s="65">
        <v>0.14000000000000001</v>
      </c>
      <c r="D57" s="65">
        <v>0</v>
      </c>
    </row>
    <row r="58" spans="1:4" x14ac:dyDescent="0.2">
      <c r="A58" s="96" t="s">
        <v>71</v>
      </c>
      <c r="B58" s="97">
        <f>B57*Assumptions!$B$5/Assumptions!$B$6</f>
        <v>212400</v>
      </c>
      <c r="C58" s="97">
        <f>C57*Assumptions!$B$5/Assumptions!$B$6</f>
        <v>4200.0000000000009</v>
      </c>
      <c r="D58" s="97">
        <f>D57*Assumptions!$B$5/Assumptions!$B$6</f>
        <v>0</v>
      </c>
    </row>
    <row r="60" spans="1:4" ht="34" x14ac:dyDescent="0.2">
      <c r="A60" s="126" t="s">
        <v>72</v>
      </c>
      <c r="B60" s="63" t="s">
        <v>5</v>
      </c>
      <c r="C60" s="63" t="s">
        <v>6</v>
      </c>
      <c r="D60" s="63" t="s">
        <v>7</v>
      </c>
    </row>
    <row r="61" spans="1:4" x14ac:dyDescent="0.2">
      <c r="A61" s="96" t="s">
        <v>70</v>
      </c>
      <c r="B61" s="96">
        <f>B57</f>
        <v>7.08</v>
      </c>
      <c r="C61" s="96">
        <f>C57</f>
        <v>0.14000000000000001</v>
      </c>
      <c r="D61" s="96">
        <f>D57</f>
        <v>0</v>
      </c>
    </row>
    <row r="62" spans="1:4" x14ac:dyDescent="0.2">
      <c r="A62" s="96" t="s">
        <v>73</v>
      </c>
      <c r="B62" s="97">
        <f>B61*Assumptions!$B$9*5280</f>
        <v>7476480</v>
      </c>
      <c r="C62" s="97">
        <f>C61*Assumptions!$B$9*5280</f>
        <v>147840.00000000003</v>
      </c>
      <c r="D62" s="97">
        <f>D61*Assumptions!$B$9*5280</f>
        <v>0</v>
      </c>
    </row>
    <row r="63" spans="1:4" x14ac:dyDescent="0.2">
      <c r="A63" s="96" t="s">
        <v>74</v>
      </c>
      <c r="B63" s="97">
        <f>B62*Assumptions!$B$10</f>
        <v>149529.60000000001</v>
      </c>
      <c r="C63" s="97">
        <f>C62*Assumptions!$B$10</f>
        <v>2956.8000000000006</v>
      </c>
      <c r="D63" s="97">
        <f>D62*Assumptions!$B$10</f>
        <v>0</v>
      </c>
    </row>
    <row r="65" spans="1:4" ht="34" x14ac:dyDescent="0.2">
      <c r="A65" s="126" t="s">
        <v>75</v>
      </c>
      <c r="B65" s="63" t="s">
        <v>5</v>
      </c>
      <c r="C65" s="63" t="s">
        <v>6</v>
      </c>
      <c r="D65" s="63" t="s">
        <v>7</v>
      </c>
    </row>
    <row r="66" spans="1:4" x14ac:dyDescent="0.2">
      <c r="A66" s="96" t="s">
        <v>70</v>
      </c>
      <c r="B66" s="96">
        <f>B57</f>
        <v>7.08</v>
      </c>
      <c r="C66" s="96">
        <f>C57</f>
        <v>0.14000000000000001</v>
      </c>
      <c r="D66" s="96">
        <f>D57</f>
        <v>0</v>
      </c>
    </row>
    <row r="67" spans="1:4" x14ac:dyDescent="0.2">
      <c r="A67" s="96" t="s">
        <v>73</v>
      </c>
      <c r="B67" s="97">
        <f>B66*Assumptions!$B$13*5280</f>
        <v>5607360</v>
      </c>
      <c r="C67" s="97">
        <f>C66*Assumptions!$B$13*5280</f>
        <v>110880.00000000001</v>
      </c>
      <c r="D67" s="97">
        <f>D66*Assumptions!$B$13*5280</f>
        <v>0</v>
      </c>
    </row>
    <row r="68" spans="1:4" x14ac:dyDescent="0.2">
      <c r="A68" s="96" t="s">
        <v>74</v>
      </c>
      <c r="B68" s="97">
        <f>B67*Assumptions!$B$10</f>
        <v>112147.2</v>
      </c>
      <c r="C68" s="97">
        <f>C67*Assumptions!$B$10</f>
        <v>2217.6000000000004</v>
      </c>
      <c r="D68" s="97">
        <f>D67*Assumptions!$B$10</f>
        <v>0</v>
      </c>
    </row>
  </sheetData>
  <conditionalFormatting sqref="G24:I25">
    <cfRule type="cellIs" dxfId="5" priority="1" operator="lessThan">
      <formula>0</formula>
    </cfRule>
    <cfRule type="cellIs" dxfId="4" priority="2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46AF2-C5F1-4745-87A8-1E137F427351}">
  <dimension ref="A1:I68"/>
  <sheetViews>
    <sheetView tabSelected="1" workbookViewId="0">
      <selection activeCell="E31" sqref="E31"/>
    </sheetView>
  </sheetViews>
  <sheetFormatPr baseColWidth="10" defaultColWidth="11" defaultRowHeight="16" x14ac:dyDescent="0.2"/>
  <cols>
    <col min="1" max="1" width="60" bestFit="1" customWidth="1"/>
    <col min="2" max="2" width="16.5" customWidth="1"/>
    <col min="3" max="3" width="20.6640625" customWidth="1"/>
    <col min="4" max="4" width="20" customWidth="1"/>
    <col min="5" max="5" width="42.6640625" bestFit="1" customWidth="1"/>
    <col min="6" max="6" width="11.33203125" bestFit="1" customWidth="1"/>
    <col min="7" max="7" width="36.1640625" customWidth="1"/>
    <col min="8" max="8" width="36.1640625" bestFit="1" customWidth="1"/>
    <col min="9" max="9" width="33.6640625" bestFit="1" customWidth="1"/>
  </cols>
  <sheetData>
    <row r="1" spans="1:9" x14ac:dyDescent="0.2">
      <c r="A1" s="5" t="s">
        <v>0</v>
      </c>
      <c r="B1" s="5" t="s">
        <v>1</v>
      </c>
      <c r="C1" s="5" t="s">
        <v>2</v>
      </c>
      <c r="E1" t="s">
        <v>3</v>
      </c>
      <c r="F1" s="1" t="s">
        <v>4</v>
      </c>
      <c r="G1" s="64" t="s">
        <v>5</v>
      </c>
      <c r="H1" s="64" t="s">
        <v>6</v>
      </c>
      <c r="I1" s="64" t="s">
        <v>7</v>
      </c>
    </row>
    <row r="2" spans="1:9" x14ac:dyDescent="0.2">
      <c r="A2" s="67" t="s">
        <v>8</v>
      </c>
      <c r="B2" s="23">
        <v>775</v>
      </c>
      <c r="C2" s="73">
        <f>B2/$B$4</f>
        <v>0.79162410623084778</v>
      </c>
      <c r="E2" s="19" t="s">
        <v>9</v>
      </c>
      <c r="F2" s="11"/>
      <c r="G2" s="25"/>
      <c r="H2" s="25"/>
      <c r="I2" s="12"/>
    </row>
    <row r="3" spans="1:9" ht="18" thickBot="1" x14ac:dyDescent="0.25">
      <c r="A3" s="68" t="s">
        <v>10</v>
      </c>
      <c r="B3" s="24">
        <v>204</v>
      </c>
      <c r="C3" s="72">
        <f>B3/$B$4</f>
        <v>0.20837589376915219</v>
      </c>
      <c r="E3" s="11" t="s">
        <v>11</v>
      </c>
      <c r="F3" s="11"/>
      <c r="G3" s="34" t="s">
        <v>76</v>
      </c>
      <c r="H3" s="35" t="s">
        <v>77</v>
      </c>
      <c r="I3" s="36"/>
    </row>
    <row r="4" spans="1:9" ht="18" thickTop="1" x14ac:dyDescent="0.2">
      <c r="A4" s="69" t="s">
        <v>15</v>
      </c>
      <c r="B4" s="70">
        <f>SUM(B2:B3)</f>
        <v>979</v>
      </c>
      <c r="C4" s="71">
        <f>SUM(C2:C3)</f>
        <v>1</v>
      </c>
      <c r="E4" s="13" t="s">
        <v>16</v>
      </c>
      <c r="F4" s="13"/>
      <c r="G4" s="37" t="s">
        <v>78</v>
      </c>
      <c r="H4" s="38" t="s">
        <v>79</v>
      </c>
      <c r="I4" s="39" t="s">
        <v>80</v>
      </c>
    </row>
    <row r="5" spans="1:9" x14ac:dyDescent="0.2">
      <c r="E5" s="11" t="s">
        <v>20</v>
      </c>
      <c r="F5" s="11" t="s">
        <v>21</v>
      </c>
      <c r="G5" s="40">
        <v>106.32</v>
      </c>
      <c r="H5" s="40">
        <v>13.95</v>
      </c>
      <c r="I5" s="41">
        <v>0.75</v>
      </c>
    </row>
    <row r="6" spans="1:9" x14ac:dyDescent="0.2">
      <c r="A6" s="5" t="s">
        <v>22</v>
      </c>
      <c r="B6" s="5" t="s">
        <v>1</v>
      </c>
      <c r="C6" s="5" t="s">
        <v>2</v>
      </c>
      <c r="E6" s="13" t="s">
        <v>23</v>
      </c>
      <c r="F6" s="13" t="s">
        <v>4</v>
      </c>
      <c r="G6" s="59">
        <f>B52</f>
        <v>377</v>
      </c>
      <c r="H6" s="59">
        <f>C52</f>
        <v>366</v>
      </c>
      <c r="I6" s="59">
        <f>D52</f>
        <v>18</v>
      </c>
    </row>
    <row r="7" spans="1:9" x14ac:dyDescent="0.2">
      <c r="A7" s="67" t="s">
        <v>8</v>
      </c>
      <c r="B7" s="32">
        <v>5333.9016600941404</v>
      </c>
      <c r="C7" s="73">
        <f>B7/$B$9</f>
        <v>0.50445494172962724</v>
      </c>
      <c r="E7" s="14" t="s">
        <v>24</v>
      </c>
      <c r="F7" s="14" t="s">
        <v>25</v>
      </c>
      <c r="G7" s="26">
        <f>G6/G5</f>
        <v>3.545899172310008</v>
      </c>
      <c r="H7" s="26">
        <f t="shared" ref="H7:I7" si="0">H6/H5</f>
        <v>26.236559139784948</v>
      </c>
      <c r="I7" s="15">
        <f t="shared" si="0"/>
        <v>24</v>
      </c>
    </row>
    <row r="8" spans="1:9" ht="17" thickBot="1" x14ac:dyDescent="0.25">
      <c r="A8" s="68" t="s">
        <v>10</v>
      </c>
      <c r="B8" s="33">
        <v>5239.6921713108304</v>
      </c>
      <c r="C8" s="72">
        <f>B8/$B$9</f>
        <v>0.49554505827037276</v>
      </c>
      <c r="E8" s="13"/>
      <c r="F8" s="13"/>
      <c r="G8" s="27"/>
      <c r="H8" s="27"/>
      <c r="I8" s="20"/>
    </row>
    <row r="9" spans="1:9" ht="17" thickTop="1" x14ac:dyDescent="0.2">
      <c r="A9" s="69" t="s">
        <v>15</v>
      </c>
      <c r="B9" s="70">
        <f>SUM(B7:B8)</f>
        <v>10573.593831404971</v>
      </c>
      <c r="C9" s="71">
        <f>SUM(C7:C8)</f>
        <v>1</v>
      </c>
      <c r="E9" s="21" t="s">
        <v>26</v>
      </c>
      <c r="F9" s="13"/>
      <c r="G9" s="27"/>
      <c r="H9" s="27"/>
      <c r="I9" s="20"/>
    </row>
    <row r="10" spans="1:9" x14ac:dyDescent="0.2">
      <c r="E10" s="11" t="s">
        <v>109</v>
      </c>
      <c r="F10" s="11" t="s">
        <v>27</v>
      </c>
      <c r="G10" s="131">
        <v>109776078</v>
      </c>
      <c r="H10" s="131">
        <v>40000000</v>
      </c>
      <c r="I10" s="132">
        <v>3414697</v>
      </c>
    </row>
    <row r="11" spans="1:9" x14ac:dyDescent="0.2">
      <c r="A11" s="7" t="s">
        <v>28</v>
      </c>
      <c r="B11" s="58">
        <v>5994</v>
      </c>
      <c r="E11" s="14" t="s">
        <v>110</v>
      </c>
      <c r="F11" s="14" t="s">
        <v>27</v>
      </c>
      <c r="G11" s="28">
        <f>G10*Assumptions!$B$38</f>
        <v>290039.37568380003</v>
      </c>
      <c r="H11" s="28">
        <f>H10*Assumptions!$B$38</f>
        <v>105684</v>
      </c>
      <c r="I11" s="28">
        <f>I10*Assumptions!$B$38</f>
        <v>9021.9709437000001</v>
      </c>
    </row>
    <row r="12" spans="1:9" x14ac:dyDescent="0.2">
      <c r="E12" s="13"/>
      <c r="F12" s="13"/>
      <c r="G12" s="29"/>
      <c r="H12" s="29"/>
      <c r="I12" s="17"/>
    </row>
    <row r="13" spans="1:9" x14ac:dyDescent="0.2">
      <c r="E13" s="21" t="s">
        <v>29</v>
      </c>
      <c r="F13" s="13"/>
      <c r="G13" s="29"/>
      <c r="H13" s="29"/>
      <c r="I13" s="17"/>
    </row>
    <row r="14" spans="1:9" x14ac:dyDescent="0.2">
      <c r="A14" s="45" t="s">
        <v>30</v>
      </c>
      <c r="B14" s="45" t="s">
        <v>1</v>
      </c>
      <c r="C14" s="45" t="s">
        <v>2</v>
      </c>
      <c r="E14" s="104" t="s">
        <v>31</v>
      </c>
      <c r="F14" s="104" t="s">
        <v>27</v>
      </c>
      <c r="G14" s="107">
        <f>G6*$B$30</f>
        <v>246895.07232466323</v>
      </c>
      <c r="H14" s="110">
        <f>H6*$B$30</f>
        <v>239691.23732314786</v>
      </c>
      <c r="I14" s="107">
        <f>I6*$B$30</f>
        <v>11788.093638843337</v>
      </c>
    </row>
    <row r="15" spans="1:9" x14ac:dyDescent="0.2">
      <c r="A15" s="74" t="s">
        <v>32</v>
      </c>
      <c r="B15" s="46">
        <v>5769608</v>
      </c>
      <c r="C15" s="78">
        <f>B15/$B$18</f>
        <v>0.4411078691345105</v>
      </c>
      <c r="E15" s="105" t="s">
        <v>33</v>
      </c>
      <c r="F15" s="105" t="s">
        <v>27</v>
      </c>
      <c r="G15" s="108">
        <f>G5*$B$45</f>
        <v>6938.5565616243612</v>
      </c>
      <c r="H15" s="111">
        <f>H5*$B$45</f>
        <v>910.3918739151602</v>
      </c>
      <c r="I15" s="108">
        <f>I5*$B$45</f>
        <v>48.94579967285808</v>
      </c>
    </row>
    <row r="16" spans="1:9" x14ac:dyDescent="0.2">
      <c r="A16" s="74" t="s">
        <v>34</v>
      </c>
      <c r="B16" s="46">
        <v>2836000</v>
      </c>
      <c r="C16" s="78">
        <f>B16/$B$18</f>
        <v>0.21682268827717097</v>
      </c>
      <c r="E16" s="105" t="s">
        <v>35</v>
      </c>
      <c r="F16" s="105" t="s">
        <v>27</v>
      </c>
      <c r="G16" s="108">
        <f>G5*$B$47</f>
        <v>2258.8077744091333</v>
      </c>
      <c r="H16" s="108">
        <f>H5*$B$47</f>
        <v>296.37291622467467</v>
      </c>
      <c r="I16" s="108">
        <f>I5*$B$47</f>
        <v>15.934027754014767</v>
      </c>
    </row>
    <row r="17" spans="1:9" ht="17" thickBot="1" x14ac:dyDescent="0.25">
      <c r="A17" s="75" t="s">
        <v>36</v>
      </c>
      <c r="B17" s="77">
        <f>B18-B15-B16</f>
        <v>4474204</v>
      </c>
      <c r="C17" s="79">
        <f>B17/$B$18</f>
        <v>0.34206944258831856</v>
      </c>
      <c r="E17" s="106" t="s">
        <v>37</v>
      </c>
      <c r="F17" s="106" t="s">
        <v>27</v>
      </c>
      <c r="G17" s="113">
        <f>B54*$B$41*$C$15</f>
        <v>46832.991263000127</v>
      </c>
      <c r="H17" s="113">
        <f>C54*$B$41*$C$15</f>
        <v>12015.222880229088</v>
      </c>
      <c r="I17" s="113">
        <f>D54*$B$41*$C$15</f>
        <v>883.69009721081613</v>
      </c>
    </row>
    <row r="18" spans="1:9" ht="17" thickTop="1" x14ac:dyDescent="0.2">
      <c r="A18" s="76" t="s">
        <v>15</v>
      </c>
      <c r="B18" s="57">
        <v>13079812</v>
      </c>
      <c r="C18" s="80">
        <f>SUM(C15:C17)</f>
        <v>1</v>
      </c>
      <c r="E18" s="106" t="s">
        <v>38</v>
      </c>
      <c r="F18" s="106" t="s">
        <v>27</v>
      </c>
      <c r="G18" s="109">
        <f>B58</f>
        <v>253800.00000000003</v>
      </c>
      <c r="H18" s="112">
        <f>C58</f>
        <v>0</v>
      </c>
      <c r="I18" s="113">
        <f>D58</f>
        <v>0</v>
      </c>
    </row>
    <row r="19" spans="1:9" x14ac:dyDescent="0.2">
      <c r="E19" s="106" t="s">
        <v>39</v>
      </c>
      <c r="F19" s="106" t="s">
        <v>27</v>
      </c>
      <c r="G19" s="109">
        <f>B63</f>
        <v>178675.20000000004</v>
      </c>
      <c r="H19" s="112">
        <f>C63</f>
        <v>0</v>
      </c>
      <c r="I19" s="109">
        <f>D63</f>
        <v>0</v>
      </c>
    </row>
    <row r="20" spans="1:9" x14ac:dyDescent="0.2">
      <c r="E20" s="106" t="s">
        <v>40</v>
      </c>
      <c r="F20" s="106" t="s">
        <v>27</v>
      </c>
      <c r="G20" s="109">
        <f>B68</f>
        <v>134006.40000000002</v>
      </c>
      <c r="H20" s="109">
        <f>C68</f>
        <v>0</v>
      </c>
      <c r="I20" s="109">
        <f>D68</f>
        <v>0</v>
      </c>
    </row>
    <row r="21" spans="1:9" x14ac:dyDescent="0.2">
      <c r="A21" s="54" t="s">
        <v>41</v>
      </c>
      <c r="B21" s="54" t="s">
        <v>1</v>
      </c>
      <c r="C21" s="54" t="s">
        <v>2</v>
      </c>
      <c r="E21" s="114" t="s">
        <v>15</v>
      </c>
      <c r="F21" s="115" t="s">
        <v>27</v>
      </c>
      <c r="G21" s="116">
        <f>SUM(G14:G20)</f>
        <v>869407.02792369702</v>
      </c>
      <c r="H21" s="116">
        <f t="shared" ref="H21:I21" si="1">SUM(H14:H20)</f>
        <v>252913.22499351678</v>
      </c>
      <c r="I21" s="116">
        <f t="shared" si="1"/>
        <v>12736.663563481025</v>
      </c>
    </row>
    <row r="22" spans="1:9" ht="17" thickBot="1" x14ac:dyDescent="0.25">
      <c r="A22" s="81" t="s">
        <v>42</v>
      </c>
      <c r="B22" s="55">
        <v>5282498</v>
      </c>
      <c r="C22" s="85">
        <f>B22/$B$25</f>
        <v>0.46991071381710597</v>
      </c>
      <c r="E22" s="18"/>
      <c r="F22" s="18"/>
      <c r="G22" s="30"/>
      <c r="H22" s="30"/>
      <c r="I22" s="22"/>
    </row>
    <row r="23" spans="1:9" ht="17" thickTop="1" x14ac:dyDescent="0.2">
      <c r="A23" s="81" t="s">
        <v>43</v>
      </c>
      <c r="B23" s="55">
        <v>983186</v>
      </c>
      <c r="C23" s="85">
        <f>B23/$B$25</f>
        <v>8.7460446757383556E-2</v>
      </c>
      <c r="E23" s="117" t="s">
        <v>44</v>
      </c>
      <c r="F23" s="118"/>
      <c r="G23" s="119"/>
      <c r="H23" s="119"/>
      <c r="I23" s="120"/>
    </row>
    <row r="24" spans="1:9" ht="17" thickBot="1" x14ac:dyDescent="0.25">
      <c r="A24" s="82" t="s">
        <v>36</v>
      </c>
      <c r="B24" s="56">
        <v>4975809</v>
      </c>
      <c r="C24" s="86">
        <f>B24/$B$25</f>
        <v>0.44262883942551046</v>
      </c>
      <c r="E24" s="13" t="s">
        <v>45</v>
      </c>
      <c r="F24" s="13" t="s">
        <v>46</v>
      </c>
      <c r="G24" s="29">
        <f>(G11-G21)/G5</f>
        <v>-5449.2819059433514</v>
      </c>
      <c r="H24" s="29">
        <f>(H11-H21)/H5</f>
        <v>-10554.066307778981</v>
      </c>
      <c r="I24" s="17">
        <f>(I11-I21)/I5</f>
        <v>-4952.9234930413659</v>
      </c>
    </row>
    <row r="25" spans="1:9" ht="17" thickTop="1" x14ac:dyDescent="0.2">
      <c r="A25" s="83" t="s">
        <v>15</v>
      </c>
      <c r="B25" s="84">
        <f>SUM(B22:B24)</f>
        <v>11241493</v>
      </c>
      <c r="C25" s="87">
        <f>SUM(C22:C24)</f>
        <v>1</v>
      </c>
      <c r="E25" s="14" t="s">
        <v>47</v>
      </c>
      <c r="F25" s="14" t="s">
        <v>48</v>
      </c>
      <c r="G25" s="31">
        <f>(G11-G21)/G6</f>
        <v>-1536.7842234480029</v>
      </c>
      <c r="H25" s="31">
        <f>(H11-H21)/H6</f>
        <v>-402.26564205878901</v>
      </c>
      <c r="I25" s="16">
        <f>(I11-I21)/I6</f>
        <v>-206.3718122100569</v>
      </c>
    </row>
    <row r="26" spans="1:9" x14ac:dyDescent="0.2">
      <c r="A26" t="s">
        <v>49</v>
      </c>
    </row>
    <row r="28" spans="1:9" x14ac:dyDescent="0.2">
      <c r="A28" s="52" t="s">
        <v>50</v>
      </c>
      <c r="B28" s="53">
        <f>B25*C15</f>
        <v>4958711.023120516</v>
      </c>
    </row>
    <row r="29" spans="1:9" x14ac:dyDescent="0.2">
      <c r="A29" s="52" t="s">
        <v>51</v>
      </c>
      <c r="B29" s="53">
        <f>B28*C2</f>
        <v>3925435.1817348311</v>
      </c>
    </row>
    <row r="30" spans="1:9" x14ac:dyDescent="0.2">
      <c r="A30" s="52" t="s">
        <v>52</v>
      </c>
      <c r="B30" s="53">
        <f>B29/B11</f>
        <v>654.89409104685205</v>
      </c>
    </row>
    <row r="31" spans="1:9" ht="17" customHeight="1" x14ac:dyDescent="0.2"/>
    <row r="33" spans="1:9" x14ac:dyDescent="0.2">
      <c r="A33" s="47" t="s">
        <v>53</v>
      </c>
      <c r="B33" s="47" t="s">
        <v>1</v>
      </c>
      <c r="C33" s="47" t="s">
        <v>2</v>
      </c>
    </row>
    <row r="34" spans="1:9" x14ac:dyDescent="0.2">
      <c r="A34" s="88" t="s">
        <v>33</v>
      </c>
      <c r="B34" s="48">
        <v>1981706</v>
      </c>
      <c r="C34" s="92">
        <f>B34/$B$37</f>
        <v>0.79555626746057462</v>
      </c>
    </row>
    <row r="35" spans="1:9" x14ac:dyDescent="0.2">
      <c r="A35" s="88" t="s">
        <v>81</v>
      </c>
      <c r="B35" s="48">
        <v>417363</v>
      </c>
      <c r="C35" s="92">
        <f>B35/$B$37</f>
        <v>0.16755045927909981</v>
      </c>
    </row>
    <row r="36" spans="1:9" ht="17" thickBot="1" x14ac:dyDescent="0.25">
      <c r="A36" s="89" t="s">
        <v>55</v>
      </c>
      <c r="B36" s="49">
        <v>91900</v>
      </c>
      <c r="C36" s="93">
        <f>B36/$B$37</f>
        <v>3.6893273260325599E-2</v>
      </c>
      <c r="G36" s="66"/>
      <c r="H36" s="66"/>
      <c r="I36" s="66"/>
    </row>
    <row r="37" spans="1:9" ht="17" thickTop="1" x14ac:dyDescent="0.2">
      <c r="A37" s="90" t="s">
        <v>15</v>
      </c>
      <c r="B37" s="91">
        <f>SUM(B34:B36)</f>
        <v>2490969</v>
      </c>
      <c r="C37" s="94">
        <f>SUBTOTAL(109,C34:C36)</f>
        <v>1</v>
      </c>
    </row>
    <row r="38" spans="1:9" x14ac:dyDescent="0.2">
      <c r="A38" t="s">
        <v>56</v>
      </c>
    </row>
    <row r="40" spans="1:9" x14ac:dyDescent="0.2">
      <c r="A40" s="47" t="s">
        <v>57</v>
      </c>
      <c r="B40" s="47" t="s">
        <v>1</v>
      </c>
    </row>
    <row r="41" spans="1:9" x14ac:dyDescent="0.2">
      <c r="A41" s="88" t="s">
        <v>58</v>
      </c>
      <c r="B41" s="95">
        <f>B35</f>
        <v>417363</v>
      </c>
    </row>
    <row r="42" spans="1:9" x14ac:dyDescent="0.2">
      <c r="A42" s="88" t="s">
        <v>59</v>
      </c>
      <c r="B42" s="92">
        <f>B41/B34</f>
        <v>0.21060793074250167</v>
      </c>
      <c r="F42" s="3"/>
    </row>
    <row r="44" spans="1:9" x14ac:dyDescent="0.2">
      <c r="A44" s="44" t="s">
        <v>60</v>
      </c>
      <c r="B44" s="51">
        <f>(B34-B41)*C15</f>
        <v>690044.00732548756</v>
      </c>
    </row>
    <row r="45" spans="1:9" x14ac:dyDescent="0.2">
      <c r="A45" s="44" t="s">
        <v>61</v>
      </c>
      <c r="B45" s="51">
        <f>B44/B9</f>
        <v>65.261066230477439</v>
      </c>
      <c r="C45" s="3"/>
    </row>
    <row r="46" spans="1:9" x14ac:dyDescent="0.2">
      <c r="A46" s="44" t="s">
        <v>62</v>
      </c>
      <c r="B46" s="51">
        <f>(B35+B36)*C15</f>
        <v>224639.91675904821</v>
      </c>
    </row>
    <row r="47" spans="1:9" x14ac:dyDescent="0.2">
      <c r="A47" s="44" t="s">
        <v>63</v>
      </c>
      <c r="B47" s="51">
        <f>B46/B9</f>
        <v>21.245370338686357</v>
      </c>
    </row>
    <row r="50" spans="1:4" ht="34" x14ac:dyDescent="0.2">
      <c r="A50" s="121" t="s">
        <v>64</v>
      </c>
      <c r="B50" s="122" t="s">
        <v>5</v>
      </c>
      <c r="C50" s="122" t="s">
        <v>6</v>
      </c>
      <c r="D50" s="122" t="s">
        <v>7</v>
      </c>
    </row>
    <row r="51" spans="1:4" ht="17" x14ac:dyDescent="0.2">
      <c r="A51" s="127" t="s">
        <v>65</v>
      </c>
      <c r="B51" s="61">
        <v>2007</v>
      </c>
      <c r="C51" s="61">
        <v>2022</v>
      </c>
      <c r="D51" s="61">
        <v>2019</v>
      </c>
    </row>
    <row r="52" spans="1:4" ht="17" x14ac:dyDescent="0.2">
      <c r="A52" s="127" t="s">
        <v>66</v>
      </c>
      <c r="B52" s="128">
        <v>377</v>
      </c>
      <c r="C52" s="128">
        <v>366</v>
      </c>
      <c r="D52" s="128">
        <v>18</v>
      </c>
    </row>
    <row r="53" spans="1:4" ht="34" x14ac:dyDescent="0.2">
      <c r="A53" s="127" t="s">
        <v>67</v>
      </c>
      <c r="B53" s="62">
        <v>1482</v>
      </c>
      <c r="C53" s="62">
        <v>5608</v>
      </c>
      <c r="D53" s="62">
        <v>3750</v>
      </c>
    </row>
    <row r="54" spans="1:4" ht="17" x14ac:dyDescent="0.2">
      <c r="A54" s="127" t="s">
        <v>68</v>
      </c>
      <c r="B54" s="130">
        <f>B52/B53</f>
        <v>0.25438596491228072</v>
      </c>
      <c r="C54" s="130">
        <f>C52/C53</f>
        <v>6.5263908701854487E-2</v>
      </c>
      <c r="D54" s="130">
        <f t="shared" ref="D54" si="2">D52/D53</f>
        <v>4.7999999999999996E-3</v>
      </c>
    </row>
    <row r="56" spans="1:4" ht="34" x14ac:dyDescent="0.2">
      <c r="A56" s="125" t="s">
        <v>69</v>
      </c>
      <c r="B56" s="123" t="s">
        <v>5</v>
      </c>
      <c r="C56" s="124" t="s">
        <v>6</v>
      </c>
      <c r="D56" s="124" t="s">
        <v>7</v>
      </c>
    </row>
    <row r="57" spans="1:4" x14ac:dyDescent="0.2">
      <c r="A57" s="96" t="s">
        <v>70</v>
      </c>
      <c r="B57" s="65">
        <v>8.4600000000000009</v>
      </c>
      <c r="C57" s="65">
        <v>0</v>
      </c>
      <c r="D57" s="65">
        <v>0</v>
      </c>
    </row>
    <row r="58" spans="1:4" x14ac:dyDescent="0.2">
      <c r="A58" s="96" t="s">
        <v>71</v>
      </c>
      <c r="B58" s="97">
        <f>B57*Assumptions!$B$41/Assumptions!$B$42</f>
        <v>253800.00000000003</v>
      </c>
      <c r="C58" s="97">
        <f>C57*Assumptions!$B$41/Assumptions!$B$42</f>
        <v>0</v>
      </c>
      <c r="D58" s="97">
        <f>D57*Assumptions!$B$41/Assumptions!$B$42</f>
        <v>0</v>
      </c>
    </row>
    <row r="60" spans="1:4" ht="34" x14ac:dyDescent="0.2">
      <c r="A60" s="126" t="s">
        <v>72</v>
      </c>
      <c r="B60" s="63" t="s">
        <v>5</v>
      </c>
      <c r="C60" s="63" t="s">
        <v>6</v>
      </c>
      <c r="D60" s="63" t="s">
        <v>7</v>
      </c>
    </row>
    <row r="61" spans="1:4" x14ac:dyDescent="0.2">
      <c r="A61" s="96" t="s">
        <v>70</v>
      </c>
      <c r="B61" s="96">
        <f>B57</f>
        <v>8.4600000000000009</v>
      </c>
      <c r="C61" s="96">
        <f>C57</f>
        <v>0</v>
      </c>
      <c r="D61" s="96">
        <f>D57</f>
        <v>0</v>
      </c>
    </row>
    <row r="62" spans="1:4" x14ac:dyDescent="0.2">
      <c r="A62" s="96" t="s">
        <v>73</v>
      </c>
      <c r="B62" s="97">
        <f>B61*Assumptions!$B$45*5280</f>
        <v>8933760.0000000019</v>
      </c>
      <c r="C62" s="97">
        <f>C61*Assumptions!$B$45*5280</f>
        <v>0</v>
      </c>
      <c r="D62" s="97">
        <f>D61*Assumptions!$B$45*5280</f>
        <v>0</v>
      </c>
    </row>
    <row r="63" spans="1:4" x14ac:dyDescent="0.2">
      <c r="A63" s="96" t="s">
        <v>74</v>
      </c>
      <c r="B63" s="97">
        <f>B62*Assumptions!$B$46</f>
        <v>178675.20000000004</v>
      </c>
      <c r="C63" s="97">
        <f>C62*Assumptions!$B$46</f>
        <v>0</v>
      </c>
      <c r="D63" s="97">
        <f>D62*Assumptions!$B$46</f>
        <v>0</v>
      </c>
    </row>
    <row r="65" spans="1:4" ht="34" x14ac:dyDescent="0.2">
      <c r="A65" s="126" t="s">
        <v>75</v>
      </c>
      <c r="B65" s="63" t="s">
        <v>5</v>
      </c>
      <c r="C65" s="63" t="s">
        <v>6</v>
      </c>
      <c r="D65" s="63" t="s">
        <v>7</v>
      </c>
    </row>
    <row r="66" spans="1:4" x14ac:dyDescent="0.2">
      <c r="A66" s="96" t="s">
        <v>70</v>
      </c>
      <c r="B66" s="96">
        <f>B57</f>
        <v>8.4600000000000009</v>
      </c>
      <c r="C66" s="96">
        <f>C57</f>
        <v>0</v>
      </c>
      <c r="D66" s="96">
        <f>D57</f>
        <v>0</v>
      </c>
    </row>
    <row r="67" spans="1:4" x14ac:dyDescent="0.2">
      <c r="A67" s="96" t="s">
        <v>73</v>
      </c>
      <c r="B67" s="97">
        <f>B66*Assumptions!$B$49*5280</f>
        <v>6700320.0000000009</v>
      </c>
      <c r="C67" s="97">
        <f>C66*Assumptions!$B$49*5280</f>
        <v>0</v>
      </c>
      <c r="D67" s="97">
        <f>D66*Assumptions!$B$49*5280</f>
        <v>0</v>
      </c>
    </row>
    <row r="68" spans="1:4" x14ac:dyDescent="0.2">
      <c r="A68" s="96" t="s">
        <v>74</v>
      </c>
      <c r="B68" s="97">
        <f>B67*Assumptions!$B$50</f>
        <v>134006.40000000002</v>
      </c>
      <c r="C68" s="97">
        <f>C67*Assumptions!$B$50</f>
        <v>0</v>
      </c>
      <c r="D68" s="97">
        <f>D67*Assumptions!$B$50</f>
        <v>0</v>
      </c>
    </row>
  </sheetData>
  <conditionalFormatting sqref="G24:I25">
    <cfRule type="cellIs" dxfId="3" priority="1" operator="lessThan">
      <formula>0</formula>
    </cfRule>
    <cfRule type="cellIs" dxfId="2" priority="2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B163D-7543-BC4B-93E9-89047A8B634A}">
  <dimension ref="A1:I68"/>
  <sheetViews>
    <sheetView workbookViewId="0">
      <selection activeCell="G28" sqref="G28"/>
    </sheetView>
  </sheetViews>
  <sheetFormatPr baseColWidth="10" defaultColWidth="11" defaultRowHeight="16" x14ac:dyDescent="0.2"/>
  <cols>
    <col min="1" max="1" width="60" bestFit="1" customWidth="1"/>
    <col min="2" max="2" width="16.5" customWidth="1"/>
    <col min="3" max="3" width="20.6640625" customWidth="1"/>
    <col min="4" max="4" width="20" customWidth="1"/>
    <col min="5" max="5" width="42.6640625" bestFit="1" customWidth="1"/>
    <col min="6" max="6" width="11.33203125" bestFit="1" customWidth="1"/>
    <col min="7" max="7" width="36.1640625" customWidth="1"/>
    <col min="8" max="8" width="36.1640625" bestFit="1" customWidth="1"/>
    <col min="9" max="9" width="33.6640625" bestFit="1" customWidth="1"/>
  </cols>
  <sheetData>
    <row r="1" spans="1:9" x14ac:dyDescent="0.2">
      <c r="A1" s="5" t="s">
        <v>0</v>
      </c>
      <c r="B1" s="5" t="s">
        <v>1</v>
      </c>
      <c r="C1" s="5" t="s">
        <v>2</v>
      </c>
      <c r="E1" t="s">
        <v>3</v>
      </c>
      <c r="F1" s="1" t="s">
        <v>4</v>
      </c>
      <c r="G1" s="64" t="s">
        <v>5</v>
      </c>
      <c r="H1" s="64" t="s">
        <v>6</v>
      </c>
      <c r="I1" s="64" t="s">
        <v>7</v>
      </c>
    </row>
    <row r="2" spans="1:9" x14ac:dyDescent="0.2">
      <c r="A2" s="67" t="s">
        <v>8</v>
      </c>
      <c r="B2" s="23">
        <v>32915</v>
      </c>
      <c r="C2" s="73">
        <f>B2/$B$4</f>
        <v>0.73949674230509999</v>
      </c>
      <c r="E2" s="19" t="s">
        <v>9</v>
      </c>
      <c r="F2" s="11"/>
      <c r="G2" s="25"/>
      <c r="H2" s="25"/>
      <c r="I2" s="12"/>
    </row>
    <row r="3" spans="1:9" ht="18" thickBot="1" x14ac:dyDescent="0.25">
      <c r="A3" s="68" t="s">
        <v>10</v>
      </c>
      <c r="B3" s="24">
        <v>11595</v>
      </c>
      <c r="C3" s="72">
        <f>B3/$B$4</f>
        <v>0.26050325769490001</v>
      </c>
      <c r="E3" s="11" t="s">
        <v>11</v>
      </c>
      <c r="F3" s="11"/>
      <c r="G3" s="34" t="s">
        <v>82</v>
      </c>
      <c r="H3" s="35" t="s">
        <v>83</v>
      </c>
      <c r="I3" s="36"/>
    </row>
    <row r="4" spans="1:9" ht="35" thickTop="1" x14ac:dyDescent="0.2">
      <c r="A4" s="69" t="s">
        <v>15</v>
      </c>
      <c r="B4" s="70">
        <f>SUM(B2:B3)</f>
        <v>44510</v>
      </c>
      <c r="C4" s="71">
        <f>SUM(C2:C3)</f>
        <v>1</v>
      </c>
      <c r="E4" s="13" t="s">
        <v>16</v>
      </c>
      <c r="F4" s="13"/>
      <c r="G4" s="37" t="s">
        <v>84</v>
      </c>
      <c r="H4" s="38" t="s">
        <v>85</v>
      </c>
      <c r="I4" s="39" t="s">
        <v>86</v>
      </c>
    </row>
    <row r="5" spans="1:9" x14ac:dyDescent="0.2">
      <c r="E5" s="11" t="s">
        <v>20</v>
      </c>
      <c r="F5" s="11" t="s">
        <v>21</v>
      </c>
      <c r="G5" s="40">
        <v>30.16</v>
      </c>
      <c r="H5" s="40">
        <v>0.55000000000000004</v>
      </c>
      <c r="I5" s="41">
        <v>3.2389999999999999</v>
      </c>
    </row>
    <row r="6" spans="1:9" x14ac:dyDescent="0.2">
      <c r="A6" s="5" t="s">
        <v>22</v>
      </c>
      <c r="B6" s="5" t="s">
        <v>1</v>
      </c>
      <c r="C6" s="5" t="s">
        <v>2</v>
      </c>
      <c r="E6" s="13" t="s">
        <v>23</v>
      </c>
      <c r="F6" s="13" t="s">
        <v>4</v>
      </c>
      <c r="G6" s="59">
        <f>B52</f>
        <v>139</v>
      </c>
      <c r="H6" s="59">
        <f>C52</f>
        <v>10</v>
      </c>
      <c r="I6" s="59">
        <f>D52</f>
        <v>218</v>
      </c>
    </row>
    <row r="7" spans="1:9" x14ac:dyDescent="0.2">
      <c r="A7" s="67" t="s">
        <v>8</v>
      </c>
      <c r="B7" s="32">
        <v>159680.76477400801</v>
      </c>
      <c r="C7" s="73">
        <f>B7/$B$9</f>
        <v>0.46715765410541771</v>
      </c>
      <c r="E7" s="14" t="s">
        <v>24</v>
      </c>
      <c r="F7" s="14" t="s">
        <v>25</v>
      </c>
      <c r="G7" s="26">
        <f>G6/G5</f>
        <v>4.6087533156498672</v>
      </c>
      <c r="H7" s="26">
        <f t="shared" ref="H7:I7" si="0">H6/H5</f>
        <v>18.18181818181818</v>
      </c>
      <c r="I7" s="15">
        <f t="shared" si="0"/>
        <v>67.3047236801482</v>
      </c>
    </row>
    <row r="8" spans="1:9" ht="17" thickBot="1" x14ac:dyDescent="0.25">
      <c r="A8" s="68" t="s">
        <v>10</v>
      </c>
      <c r="B8" s="33">
        <v>182132.67523006999</v>
      </c>
      <c r="C8" s="72">
        <f>B8/$B$9</f>
        <v>0.53284234589458235</v>
      </c>
      <c r="E8" s="13"/>
      <c r="F8" s="13"/>
      <c r="G8" s="27"/>
      <c r="H8" s="27"/>
      <c r="I8" s="20"/>
    </row>
    <row r="9" spans="1:9" ht="17" thickTop="1" x14ac:dyDescent="0.2">
      <c r="A9" s="69" t="s">
        <v>15</v>
      </c>
      <c r="B9" s="70">
        <f>SUM(B7:B8)</f>
        <v>341813.44000407797</v>
      </c>
      <c r="C9" s="71">
        <f>SUM(C7:C8)</f>
        <v>1</v>
      </c>
      <c r="E9" s="21" t="s">
        <v>26</v>
      </c>
      <c r="F9" s="13"/>
      <c r="G9" s="27"/>
      <c r="H9" s="27"/>
      <c r="I9" s="20"/>
    </row>
    <row r="10" spans="1:9" x14ac:dyDescent="0.2">
      <c r="E10" s="11" t="s">
        <v>109</v>
      </c>
      <c r="F10" s="11" t="s">
        <v>27</v>
      </c>
      <c r="G10" s="42">
        <v>40861867.659999996</v>
      </c>
      <c r="H10" s="42">
        <v>5454794</v>
      </c>
      <c r="I10" s="43">
        <v>39000000</v>
      </c>
    </row>
    <row r="11" spans="1:9" x14ac:dyDescent="0.2">
      <c r="A11" s="7" t="s">
        <v>28</v>
      </c>
      <c r="B11" s="58">
        <v>380392</v>
      </c>
      <c r="E11" s="14" t="s">
        <v>110</v>
      </c>
      <c r="F11" s="14" t="s">
        <v>27</v>
      </c>
      <c r="G11" s="28">
        <f>G10*Assumptions!$B$20</f>
        <v>274796.06001349998</v>
      </c>
      <c r="H11" s="28">
        <f>H10*Assumptions!$B$20</f>
        <v>36683.489650000003</v>
      </c>
      <c r="I11" s="28">
        <f>I10*Assumptions!$B$20</f>
        <v>262275</v>
      </c>
    </row>
    <row r="12" spans="1:9" x14ac:dyDescent="0.2">
      <c r="E12" s="13"/>
      <c r="F12" s="13"/>
      <c r="G12" s="29"/>
      <c r="H12" s="29"/>
      <c r="I12" s="17"/>
    </row>
    <row r="13" spans="1:9" x14ac:dyDescent="0.2">
      <c r="E13" s="21" t="s">
        <v>29</v>
      </c>
      <c r="F13" s="13"/>
      <c r="G13" s="29"/>
      <c r="H13" s="29"/>
      <c r="I13" s="17"/>
    </row>
    <row r="14" spans="1:9" x14ac:dyDescent="0.2">
      <c r="A14" s="45" t="s">
        <v>30</v>
      </c>
      <c r="B14" s="45" t="s">
        <v>1</v>
      </c>
      <c r="C14" s="45" t="s">
        <v>2</v>
      </c>
      <c r="E14" s="104" t="s">
        <v>31</v>
      </c>
      <c r="F14" s="104" t="s">
        <v>27</v>
      </c>
      <c r="G14" s="107">
        <f>G6*$B$30</f>
        <v>126354.05656675884</v>
      </c>
      <c r="H14" s="110">
        <f>H6*$B$30</f>
        <v>9090.2198968891244</v>
      </c>
      <c r="I14" s="107">
        <f>I6*$B$30</f>
        <v>198166.79375218294</v>
      </c>
    </row>
    <row r="15" spans="1:9" x14ac:dyDescent="0.2">
      <c r="A15" s="74" t="s">
        <v>32</v>
      </c>
      <c r="B15" s="46">
        <v>579970842</v>
      </c>
      <c r="C15" s="78">
        <f>B15/$B$18</f>
        <v>0.57206919911483822</v>
      </c>
      <c r="E15" s="105" t="s">
        <v>33</v>
      </c>
      <c r="F15" s="105" t="s">
        <v>27</v>
      </c>
      <c r="G15" s="108">
        <f>G5*$B$45</f>
        <v>2581.8924925824963</v>
      </c>
      <c r="H15" s="111">
        <f>H5*$B$45</f>
        <v>47.083583253328023</v>
      </c>
      <c r="I15" s="108">
        <f>I5*$B$45</f>
        <v>277.27950210459898</v>
      </c>
    </row>
    <row r="16" spans="1:9" x14ac:dyDescent="0.2">
      <c r="A16" s="74" t="s">
        <v>34</v>
      </c>
      <c r="B16" s="46">
        <v>250000000</v>
      </c>
      <c r="C16" s="78">
        <f>B16/$B$18</f>
        <v>0.24659394821560623</v>
      </c>
      <c r="E16" s="105" t="s">
        <v>35</v>
      </c>
      <c r="F16" s="105" t="s">
        <v>27</v>
      </c>
      <c r="G16" s="108">
        <f>G5*$B$47</f>
        <v>4980.6565553961682</v>
      </c>
      <c r="H16" s="108">
        <f t="shared" ref="H16" si="1">H5*$B$47</f>
        <v>90.827622860341265</v>
      </c>
      <c r="I16" s="108">
        <f>I5*$B$47</f>
        <v>534.89212808117327</v>
      </c>
    </row>
    <row r="17" spans="1:9" ht="17" thickBot="1" x14ac:dyDescent="0.25">
      <c r="A17" s="75" t="s">
        <v>36</v>
      </c>
      <c r="B17" s="77">
        <f>B18-B15-B16</f>
        <v>183841548</v>
      </c>
      <c r="C17" s="79">
        <f>B17/$B$18</f>
        <v>0.18133685266955557</v>
      </c>
      <c r="E17" s="106" t="s">
        <v>37</v>
      </c>
      <c r="F17" s="106" t="s">
        <v>27</v>
      </c>
      <c r="G17" s="113">
        <f>B54*$B$41*$C$15</f>
        <v>10996.928178862248</v>
      </c>
      <c r="H17" s="113">
        <f>C54*$B$41*$C$15</f>
        <v>808.64195385295329</v>
      </c>
      <c r="I17" s="113">
        <f>D54*$B$41*$C$15</f>
        <v>19504.506977879719</v>
      </c>
    </row>
    <row r="18" spans="1:9" ht="17" thickTop="1" x14ac:dyDescent="0.2">
      <c r="A18" s="76" t="s">
        <v>15</v>
      </c>
      <c r="B18" s="57">
        <v>1013812390</v>
      </c>
      <c r="C18" s="80">
        <f>SUM(C15:C17)</f>
        <v>1</v>
      </c>
      <c r="E18" s="106" t="s">
        <v>38</v>
      </c>
      <c r="F18" s="106" t="s">
        <v>27</v>
      </c>
      <c r="G18" s="109">
        <f>B58</f>
        <v>95400</v>
      </c>
      <c r="H18" s="112">
        <f>C58</f>
        <v>0</v>
      </c>
      <c r="I18" s="113">
        <f>D58</f>
        <v>0</v>
      </c>
    </row>
    <row r="19" spans="1:9" x14ac:dyDescent="0.2">
      <c r="E19" s="106" t="s">
        <v>39</v>
      </c>
      <c r="F19" s="106" t="s">
        <v>27</v>
      </c>
      <c r="G19" s="109">
        <f>B63</f>
        <v>67161.600000000006</v>
      </c>
      <c r="H19" s="112">
        <f>C63</f>
        <v>0</v>
      </c>
      <c r="I19" s="109">
        <f>D63</f>
        <v>0</v>
      </c>
    </row>
    <row r="20" spans="1:9" x14ac:dyDescent="0.2">
      <c r="E20" s="106" t="s">
        <v>40</v>
      </c>
      <c r="F20" s="106" t="s">
        <v>27</v>
      </c>
      <c r="G20" s="109">
        <f>B68</f>
        <v>50371.200000000004</v>
      </c>
      <c r="H20" s="109">
        <f>C68</f>
        <v>0</v>
      </c>
      <c r="I20" s="109">
        <f>D68</f>
        <v>0</v>
      </c>
    </row>
    <row r="21" spans="1:9" x14ac:dyDescent="0.2">
      <c r="A21" s="54" t="s">
        <v>41</v>
      </c>
      <c r="B21" s="54" t="s">
        <v>1</v>
      </c>
      <c r="C21" s="54" t="s">
        <v>2</v>
      </c>
      <c r="E21" s="114" t="s">
        <v>15</v>
      </c>
      <c r="F21" s="115" t="s">
        <v>27</v>
      </c>
      <c r="G21" s="116">
        <f>SUM(G14:G20)</f>
        <v>357846.3337935998</v>
      </c>
      <c r="H21" s="116">
        <f t="shared" ref="H21:I21" si="2">SUM(H14:H20)</f>
        <v>10036.773056855747</v>
      </c>
      <c r="I21" s="116">
        <f t="shared" si="2"/>
        <v>218483.47236024844</v>
      </c>
    </row>
    <row r="22" spans="1:9" ht="17" thickBot="1" x14ac:dyDescent="0.25">
      <c r="A22" s="81" t="s">
        <v>42</v>
      </c>
      <c r="B22" s="55">
        <v>213436366</v>
      </c>
      <c r="C22" s="85">
        <f>B22/$B$25</f>
        <v>0.26112441777968248</v>
      </c>
      <c r="E22" s="18"/>
      <c r="F22" s="18"/>
      <c r="G22" s="30"/>
      <c r="H22" s="30"/>
      <c r="I22" s="22"/>
    </row>
    <row r="23" spans="1:9" ht="17" thickTop="1" x14ac:dyDescent="0.2">
      <c r="A23" s="81" t="s">
        <v>43</v>
      </c>
      <c r="B23" s="55">
        <v>321340689</v>
      </c>
      <c r="C23" s="85">
        <f>B23/$B$25</f>
        <v>0.39313778573257291</v>
      </c>
      <c r="E23" s="117" t="s">
        <v>44</v>
      </c>
      <c r="F23" s="118"/>
      <c r="G23" s="119"/>
      <c r="H23" s="119"/>
      <c r="I23" s="120"/>
    </row>
    <row r="24" spans="1:9" ht="17" thickBot="1" x14ac:dyDescent="0.25">
      <c r="A24" s="82" t="s">
        <v>36</v>
      </c>
      <c r="B24" s="56">
        <f>B18-SUM(B22:B23)-B37</f>
        <v>282597160</v>
      </c>
      <c r="C24" s="86">
        <f>B24/$B$25</f>
        <v>0.34573779648774461</v>
      </c>
      <c r="E24" s="13" t="s">
        <v>45</v>
      </c>
      <c r="F24" s="13" t="s">
        <v>46</v>
      </c>
      <c r="G24" s="29">
        <f>(G11-G21)/G5</f>
        <v>-2753.656292443628</v>
      </c>
      <c r="H24" s="29">
        <f>(H11-H21)/H5</f>
        <v>48448.575623898643</v>
      </c>
      <c r="I24" s="17">
        <f>(I11-I21)/I5</f>
        <v>13520.076455619499</v>
      </c>
    </row>
    <row r="25" spans="1:9" ht="17" thickTop="1" x14ac:dyDescent="0.2">
      <c r="A25" s="83" t="s">
        <v>15</v>
      </c>
      <c r="B25" s="84">
        <f>SUM(B22:B24)</f>
        <v>817374215</v>
      </c>
      <c r="C25" s="87">
        <f>SUM(C22:C24)</f>
        <v>1</v>
      </c>
      <c r="E25" s="14" t="s">
        <v>47</v>
      </c>
      <c r="F25" s="14" t="s">
        <v>48</v>
      </c>
      <c r="G25" s="31">
        <f>(G11-G21)/G6</f>
        <v>-597.4839840294951</v>
      </c>
      <c r="H25" s="31">
        <f>(H11-H21)/H6</f>
        <v>2664.6716593144256</v>
      </c>
      <c r="I25" s="16">
        <f>(I11-I21)/I6</f>
        <v>200.87856715482366</v>
      </c>
    </row>
    <row r="26" spans="1:9" x14ac:dyDescent="0.2">
      <c r="A26" t="s">
        <v>49</v>
      </c>
    </row>
    <row r="28" spans="1:9" x14ac:dyDescent="0.2">
      <c r="A28" s="52" t="s">
        <v>50</v>
      </c>
      <c r="B28" s="53">
        <f>B25*C15</f>
        <v>467594612.55216956</v>
      </c>
      <c r="G28" s="153">
        <f>G10/G6</f>
        <v>293970.27093525178</v>
      </c>
      <c r="H28" s="153">
        <f>H10/H6</f>
        <v>545479.4</v>
      </c>
      <c r="I28" s="153">
        <f>I10/I6</f>
        <v>178899.08256880735</v>
      </c>
    </row>
    <row r="29" spans="1:9" x14ac:dyDescent="0.2">
      <c r="A29" s="52" t="s">
        <v>51</v>
      </c>
      <c r="B29" s="53">
        <f>B28*C2</f>
        <v>345784692.70174479</v>
      </c>
    </row>
    <row r="30" spans="1:9" x14ac:dyDescent="0.2">
      <c r="A30" s="52" t="s">
        <v>52</v>
      </c>
      <c r="B30" s="53">
        <f>B29/B11</f>
        <v>909.02198968891253</v>
      </c>
    </row>
    <row r="31" spans="1:9" ht="17" customHeight="1" x14ac:dyDescent="0.2"/>
    <row r="33" spans="1:9" x14ac:dyDescent="0.2">
      <c r="A33" s="47" t="s">
        <v>53</v>
      </c>
      <c r="B33" s="47" t="s">
        <v>1</v>
      </c>
      <c r="C33" s="47" t="s">
        <v>2</v>
      </c>
    </row>
    <row r="34" spans="1:9" x14ac:dyDescent="0.2">
      <c r="A34" s="88" t="s">
        <v>33</v>
      </c>
      <c r="B34" s="48">
        <v>97765744</v>
      </c>
      <c r="C34" s="92">
        <f>B34/$B$37</f>
        <v>0.49769218228585149</v>
      </c>
    </row>
    <row r="35" spans="1:9" x14ac:dyDescent="0.2">
      <c r="A35" s="88" t="s">
        <v>54</v>
      </c>
      <c r="B35" s="48">
        <v>27822947</v>
      </c>
      <c r="C35" s="92">
        <f>B35/$B$37</f>
        <v>0.14163716904822599</v>
      </c>
    </row>
    <row r="36" spans="1:9" ht="17" thickBot="1" x14ac:dyDescent="0.25">
      <c r="A36" s="89" t="s">
        <v>55</v>
      </c>
      <c r="B36" s="49">
        <v>70849484</v>
      </c>
      <c r="C36" s="93">
        <f>B36/$B$37</f>
        <v>0.36067064866592252</v>
      </c>
      <c r="G36" s="66"/>
      <c r="H36" s="66"/>
      <c r="I36" s="66"/>
    </row>
    <row r="37" spans="1:9" ht="17" thickTop="1" x14ac:dyDescent="0.2">
      <c r="A37" s="90" t="s">
        <v>15</v>
      </c>
      <c r="B37" s="91">
        <f>SUM(B34:B36)</f>
        <v>196438175</v>
      </c>
      <c r="C37" s="94">
        <f>SUBTOTAL(109,C34:C36)</f>
        <v>1</v>
      </c>
    </row>
    <row r="38" spans="1:9" x14ac:dyDescent="0.2">
      <c r="A38" t="s">
        <v>56</v>
      </c>
    </row>
    <row r="40" spans="1:9" x14ac:dyDescent="0.2">
      <c r="A40" s="47" t="s">
        <v>57</v>
      </c>
      <c r="B40" s="47" t="s">
        <v>1</v>
      </c>
    </row>
    <row r="41" spans="1:9" x14ac:dyDescent="0.2">
      <c r="A41" s="88" t="s">
        <v>58</v>
      </c>
      <c r="B41" s="50">
        <v>46615538</v>
      </c>
    </row>
    <row r="42" spans="1:9" x14ac:dyDescent="0.2">
      <c r="A42" s="88" t="s">
        <v>59</v>
      </c>
      <c r="B42" s="92">
        <f>B41/B34</f>
        <v>0.47680850257734447</v>
      </c>
      <c r="F42" s="3"/>
    </row>
    <row r="44" spans="1:9" x14ac:dyDescent="0.2">
      <c r="A44" s="44" t="s">
        <v>60</v>
      </c>
      <c r="B44" s="51">
        <f>(B34-B41)*C15</f>
        <v>29261457.380978994</v>
      </c>
    </row>
    <row r="45" spans="1:9" x14ac:dyDescent="0.2">
      <c r="A45" s="44" t="s">
        <v>61</v>
      </c>
      <c r="B45" s="51">
        <f>B44/B9</f>
        <v>85.606515006050941</v>
      </c>
      <c r="C45" s="3"/>
    </row>
    <row r="46" spans="1:9" x14ac:dyDescent="0.2">
      <c r="A46" s="44" t="s">
        <v>62</v>
      </c>
      <c r="B46" s="51">
        <f>(B35+B36)*C15</f>
        <v>56447458.576884136</v>
      </c>
    </row>
    <row r="47" spans="1:9" x14ac:dyDescent="0.2">
      <c r="A47" s="44" t="s">
        <v>63</v>
      </c>
      <c r="B47" s="51">
        <f>B46/B9</f>
        <v>165.14113247334774</v>
      </c>
    </row>
    <row r="50" spans="1:4" ht="34" x14ac:dyDescent="0.2">
      <c r="A50" s="121" t="s">
        <v>64</v>
      </c>
      <c r="B50" s="122" t="s">
        <v>5</v>
      </c>
      <c r="C50" s="122" t="s">
        <v>6</v>
      </c>
      <c r="D50" s="122" t="s">
        <v>7</v>
      </c>
    </row>
    <row r="51" spans="1:4" ht="17" x14ac:dyDescent="0.2">
      <c r="A51" s="127" t="s">
        <v>65</v>
      </c>
      <c r="B51" s="128">
        <v>2019</v>
      </c>
      <c r="C51" s="128">
        <v>2018</v>
      </c>
      <c r="D51" s="128">
        <v>2012</v>
      </c>
    </row>
    <row r="52" spans="1:4" ht="17" x14ac:dyDescent="0.2">
      <c r="A52" s="127" t="s">
        <v>66</v>
      </c>
      <c r="B52" s="128">
        <v>139</v>
      </c>
      <c r="C52" s="128">
        <v>10</v>
      </c>
      <c r="D52" s="128">
        <v>218</v>
      </c>
    </row>
    <row r="53" spans="1:4" ht="34" x14ac:dyDescent="0.2">
      <c r="A53" s="127" t="s">
        <v>67</v>
      </c>
      <c r="B53" s="129">
        <v>337072</v>
      </c>
      <c r="C53" s="129">
        <v>329779</v>
      </c>
      <c r="D53" s="129">
        <v>298058</v>
      </c>
    </row>
    <row r="54" spans="1:4" ht="17" x14ac:dyDescent="0.2">
      <c r="A54" s="127" t="s">
        <v>68</v>
      </c>
      <c r="B54" s="130">
        <f>B52/B53</f>
        <v>4.1237480419613614E-4</v>
      </c>
      <c r="C54" s="130">
        <f>C52/C53</f>
        <v>3.0323337750432864E-5</v>
      </c>
      <c r="D54" s="130">
        <f t="shared" ref="D54" si="3">D52/D53</f>
        <v>7.3140127089358449E-4</v>
      </c>
    </row>
    <row r="56" spans="1:4" ht="34" x14ac:dyDescent="0.2">
      <c r="A56" s="125" t="s">
        <v>69</v>
      </c>
      <c r="B56" s="123" t="s">
        <v>5</v>
      </c>
      <c r="C56" s="124" t="s">
        <v>6</v>
      </c>
      <c r="D56" s="124" t="s">
        <v>7</v>
      </c>
    </row>
    <row r="57" spans="1:4" x14ac:dyDescent="0.2">
      <c r="A57" s="96" t="s">
        <v>70</v>
      </c>
      <c r="B57" s="65">
        <v>3.18</v>
      </c>
      <c r="C57" s="65">
        <v>0</v>
      </c>
      <c r="D57" s="65">
        <v>0</v>
      </c>
    </row>
    <row r="58" spans="1:4" x14ac:dyDescent="0.2">
      <c r="A58" s="96" t="s">
        <v>71</v>
      </c>
      <c r="B58" s="97">
        <f>B57*Assumptions!$B$23/Assumptions!$B$24</f>
        <v>95400</v>
      </c>
      <c r="C58" s="97">
        <f>C57*Assumptions!$B$23/Assumptions!$B$24</f>
        <v>0</v>
      </c>
      <c r="D58" s="97">
        <f>D57*Assumptions!$B$23/Assumptions!$B$24</f>
        <v>0</v>
      </c>
    </row>
    <row r="60" spans="1:4" ht="34" x14ac:dyDescent="0.2">
      <c r="A60" s="126" t="s">
        <v>72</v>
      </c>
      <c r="B60" s="63" t="s">
        <v>5</v>
      </c>
      <c r="C60" s="63" t="s">
        <v>6</v>
      </c>
      <c r="D60" s="63" t="s">
        <v>7</v>
      </c>
    </row>
    <row r="61" spans="1:4" x14ac:dyDescent="0.2">
      <c r="A61" s="96" t="s">
        <v>70</v>
      </c>
      <c r="B61" s="96">
        <f>B57</f>
        <v>3.18</v>
      </c>
      <c r="C61" s="96">
        <f>C57</f>
        <v>0</v>
      </c>
      <c r="D61" s="96">
        <f>D57</f>
        <v>0</v>
      </c>
    </row>
    <row r="62" spans="1:4" x14ac:dyDescent="0.2">
      <c r="A62" s="96" t="s">
        <v>73</v>
      </c>
      <c r="B62" s="97">
        <f>B61*Assumptions!$B$27*5280</f>
        <v>3358080</v>
      </c>
      <c r="C62" s="97">
        <f>C61*Assumptions!$B$27*5280</f>
        <v>0</v>
      </c>
      <c r="D62" s="97">
        <f>D61*Assumptions!$B$27*5280</f>
        <v>0</v>
      </c>
    </row>
    <row r="63" spans="1:4" x14ac:dyDescent="0.2">
      <c r="A63" s="96" t="s">
        <v>74</v>
      </c>
      <c r="B63" s="97">
        <f>B62*Assumptions!$B$28</f>
        <v>67161.600000000006</v>
      </c>
      <c r="C63" s="97">
        <f>C62*Assumptions!$B$28</f>
        <v>0</v>
      </c>
      <c r="D63" s="97">
        <f>D62*Assumptions!$B$28</f>
        <v>0</v>
      </c>
    </row>
    <row r="65" spans="1:4" ht="34" x14ac:dyDescent="0.2">
      <c r="A65" s="126" t="s">
        <v>75</v>
      </c>
      <c r="B65" s="63" t="s">
        <v>5</v>
      </c>
      <c r="C65" s="63" t="s">
        <v>6</v>
      </c>
      <c r="D65" s="63" t="s">
        <v>7</v>
      </c>
    </row>
    <row r="66" spans="1:4" x14ac:dyDescent="0.2">
      <c r="A66" s="96" t="s">
        <v>70</v>
      </c>
      <c r="B66" s="96">
        <f>B57</f>
        <v>3.18</v>
      </c>
      <c r="C66" s="96">
        <f>C57</f>
        <v>0</v>
      </c>
      <c r="D66" s="96">
        <f>D57</f>
        <v>0</v>
      </c>
    </row>
    <row r="67" spans="1:4" x14ac:dyDescent="0.2">
      <c r="A67" s="96" t="s">
        <v>73</v>
      </c>
      <c r="B67" s="97">
        <f>B66*Assumptions!$B$31*5280</f>
        <v>2518560</v>
      </c>
      <c r="C67" s="97">
        <f>C66*Assumptions!$B$31*5280</f>
        <v>0</v>
      </c>
      <c r="D67" s="97">
        <f>D66*Assumptions!$B$31*5280</f>
        <v>0</v>
      </c>
    </row>
    <row r="68" spans="1:4" x14ac:dyDescent="0.2">
      <c r="A68" s="96" t="s">
        <v>74</v>
      </c>
      <c r="B68" s="97">
        <f>B67*Assumptions!$B$32</f>
        <v>50371.200000000004</v>
      </c>
      <c r="C68" s="97">
        <f>C67*Assumptions!$B$32</f>
        <v>0</v>
      </c>
      <c r="D68" s="97">
        <f>D67*Assumptions!$B$32</f>
        <v>0</v>
      </c>
    </row>
  </sheetData>
  <conditionalFormatting sqref="G24:I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97DA7-5A8C-3849-A1F4-E9297233D180}">
  <dimension ref="B4:P52"/>
  <sheetViews>
    <sheetView topLeftCell="A11" workbookViewId="0">
      <selection activeCell="A27" sqref="A27"/>
    </sheetView>
  </sheetViews>
  <sheetFormatPr baseColWidth="10" defaultColWidth="11" defaultRowHeight="16" x14ac:dyDescent="0.2"/>
  <cols>
    <col min="2" max="2" width="28.5" customWidth="1"/>
    <col min="3" max="5" width="13.6640625" customWidth="1"/>
    <col min="8" max="10" width="13.83203125" customWidth="1"/>
    <col min="13" max="13" width="14.5" customWidth="1"/>
  </cols>
  <sheetData>
    <row r="4" spans="2:16" ht="16" customHeight="1" x14ac:dyDescent="0.2">
      <c r="B4" s="154" t="s">
        <v>87</v>
      </c>
      <c r="C4" s="155"/>
      <c r="D4" s="155"/>
      <c r="E4" s="156"/>
      <c r="M4" s="154" t="s">
        <v>111</v>
      </c>
      <c r="N4" s="155"/>
      <c r="O4" s="155"/>
      <c r="P4" s="156"/>
    </row>
    <row r="5" spans="2:16" x14ac:dyDescent="0.2">
      <c r="B5" s="133"/>
      <c r="C5" s="2" t="s">
        <v>88</v>
      </c>
      <c r="D5" s="2" t="s">
        <v>89</v>
      </c>
      <c r="E5" s="134" t="s">
        <v>90</v>
      </c>
      <c r="M5" s="133"/>
      <c r="N5" s="2" t="s">
        <v>88</v>
      </c>
      <c r="O5" s="2" t="s">
        <v>89</v>
      </c>
      <c r="P5" s="134" t="s">
        <v>90</v>
      </c>
    </row>
    <row r="6" spans="2:16" x14ac:dyDescent="0.2">
      <c r="B6" s="133" t="s">
        <v>91</v>
      </c>
      <c r="C6" s="4">
        <f>'College Station Analysis'!G24</f>
        <v>-2799.7393600349078</v>
      </c>
      <c r="D6" s="4">
        <f>'Fate Analysis'!G24</f>
        <v>-5449.2819059433514</v>
      </c>
      <c r="E6" s="135">
        <f>'Fort Worth Analysis'!G24</f>
        <v>-2753.656292443628</v>
      </c>
      <c r="M6" s="133" t="s">
        <v>91</v>
      </c>
      <c r="N6" s="4">
        <f>'College Station Analysis'!G25</f>
        <v>-855.92031863924319</v>
      </c>
      <c r="O6" s="4">
        <f>'Fate Analysis'!G25</f>
        <v>-1536.7842234480029</v>
      </c>
      <c r="P6" s="135">
        <f>'Fort Worth Analysis'!G25</f>
        <v>-597.4839840294951</v>
      </c>
    </row>
    <row r="7" spans="2:16" x14ac:dyDescent="0.2">
      <c r="B7" s="133" t="s">
        <v>92</v>
      </c>
      <c r="C7" s="4">
        <f>'College Station Analysis'!H24</f>
        <v>14220.062332558808</v>
      </c>
      <c r="D7" s="4">
        <f>'Fate Analysis'!H24</f>
        <v>-10554.066307778981</v>
      </c>
      <c r="E7" s="135">
        <f>'Fort Worth Analysis'!H24</f>
        <v>48448.575623898643</v>
      </c>
      <c r="M7" s="133" t="s">
        <v>92</v>
      </c>
      <c r="N7" s="4">
        <f>'College Station Analysis'!H25</f>
        <v>496.12217471371844</v>
      </c>
      <c r="O7" s="4">
        <f>'Fate Analysis'!H25</f>
        <v>-402.26564205878901</v>
      </c>
      <c r="P7" s="135">
        <f>'Fort Worth Analysis'!H25</f>
        <v>2664.6716593144256</v>
      </c>
    </row>
    <row r="8" spans="2:16" x14ac:dyDescent="0.2">
      <c r="B8" s="136" t="s">
        <v>93</v>
      </c>
      <c r="C8" s="137">
        <f>'College Station Analysis'!I24</f>
        <v>47246.851088297866</v>
      </c>
      <c r="D8" s="137">
        <f>'Fate Analysis'!I24</f>
        <v>-4952.9234930413659</v>
      </c>
      <c r="E8" s="138">
        <f>'Fort Worth Analysis'!I24</f>
        <v>13520.076455619499</v>
      </c>
      <c r="M8" s="136" t="s">
        <v>93</v>
      </c>
      <c r="N8" s="137">
        <f>'College Station Analysis'!I25</f>
        <v>336.36003258225298</v>
      </c>
      <c r="O8" s="137">
        <f>'Fate Analysis'!I25</f>
        <v>-206.3718122100569</v>
      </c>
      <c r="P8" s="138">
        <f>'Fort Worth Analysis'!I25</f>
        <v>200.87856715482366</v>
      </c>
    </row>
    <row r="11" spans="2:16" ht="16" customHeight="1" x14ac:dyDescent="0.2">
      <c r="B11" s="154" t="s">
        <v>94</v>
      </c>
      <c r="C11" s="155"/>
      <c r="D11" s="155"/>
      <c r="E11" s="156"/>
    </row>
    <row r="12" spans="2:16" x14ac:dyDescent="0.2">
      <c r="B12" s="140" t="s">
        <v>88</v>
      </c>
      <c r="C12" t="s">
        <v>91</v>
      </c>
      <c r="D12" t="s">
        <v>92</v>
      </c>
      <c r="E12" s="141" t="s">
        <v>93</v>
      </c>
      <c r="G12" s="139"/>
    </row>
    <row r="13" spans="2:16" x14ac:dyDescent="0.2">
      <c r="B13" s="142" t="str">
        <f>'College Station Analysis'!E14</f>
        <v>Public Service</v>
      </c>
      <c r="C13" s="150">
        <f>'College Station Analysis'!G14</f>
        <v>218242.90133457302</v>
      </c>
      <c r="D13" s="150">
        <f>'College Station Analysis'!H14</f>
        <v>68438.540488193627</v>
      </c>
      <c r="E13" s="149">
        <f>'College Station Analysis'!I14</f>
        <v>229649.32474927197</v>
      </c>
    </row>
    <row r="14" spans="2:16" x14ac:dyDescent="0.2">
      <c r="B14" s="142" t="str">
        <f>'College Station Analysis'!E15</f>
        <v>Transportation &amp; Public Works</v>
      </c>
      <c r="C14" s="150">
        <f>'College Station Analysis'!G15</f>
        <v>4967.6268235211401</v>
      </c>
      <c r="D14" s="150">
        <f>'College Station Analysis'!H15</f>
        <v>177.77921388028699</v>
      </c>
      <c r="E14" s="149">
        <f>'College Station Analysis'!I15</f>
        <v>121.7278056823621</v>
      </c>
    </row>
    <row r="15" spans="2:16" x14ac:dyDescent="0.2">
      <c r="B15" s="142" t="str">
        <f>'College Station Analysis'!E16</f>
        <v xml:space="preserve">Library, Parks &amp; Recreation, and Other </v>
      </c>
      <c r="C15" s="150">
        <f>'College Station Analysis'!G16</f>
        <v>14106.4143218961</v>
      </c>
      <c r="D15" s="150">
        <f>'College Station Analysis'!H16</f>
        <v>504.83406622696327</v>
      </c>
      <c r="E15" s="149">
        <f>'College Station Analysis'!I16</f>
        <v>345.66663770317547</v>
      </c>
    </row>
    <row r="16" spans="2:16" x14ac:dyDescent="0.2">
      <c r="B16" s="142" t="str">
        <f>'College Station Analysis'!E17</f>
        <v>Development-induced Arterial Road Maintenance</v>
      </c>
      <c r="C16" s="150">
        <f>'College Station Analysis'!G17</f>
        <v>9582.0048972726072</v>
      </c>
      <c r="D16" s="150">
        <f>'College Station Analysis'!H17</f>
        <v>2832.5386989244644</v>
      </c>
      <c r="E16" s="149">
        <f>'College Station Analysis'!I17</f>
        <v>9504.7409675020917</v>
      </c>
    </row>
    <row r="17" spans="2:5" x14ac:dyDescent="0.2">
      <c r="B17" s="142" t="str">
        <f>'College Station Analysis'!E18</f>
        <v>Local Street Capital Replacement</v>
      </c>
      <c r="C17" s="150">
        <f>'College Station Analysis'!G18</f>
        <v>212400</v>
      </c>
      <c r="D17" s="150">
        <f>'College Station Analysis'!H18</f>
        <v>4200.0000000000009</v>
      </c>
      <c r="E17" s="149">
        <f>'College Station Analysis'!I18</f>
        <v>0</v>
      </c>
    </row>
    <row r="18" spans="2:5" x14ac:dyDescent="0.2">
      <c r="B18" s="142" t="str">
        <f>'College Station Analysis'!E19</f>
        <v>Waterline Capital Replacement</v>
      </c>
      <c r="C18" s="150">
        <f>'College Station Analysis'!G19</f>
        <v>149529.60000000001</v>
      </c>
      <c r="D18" s="150">
        <f>'College Station Analysis'!H19</f>
        <v>2956.8000000000006</v>
      </c>
      <c r="E18" s="149">
        <f>'College Station Analysis'!I19</f>
        <v>0</v>
      </c>
    </row>
    <row r="19" spans="2:5" x14ac:dyDescent="0.2">
      <c r="B19" s="142" t="str">
        <f>'College Station Analysis'!E20</f>
        <v>Sanitary Sewer Capital Replacement</v>
      </c>
      <c r="C19" s="150">
        <f>'College Station Analysis'!G20</f>
        <v>112147.2</v>
      </c>
      <c r="D19" s="150">
        <f>'College Station Analysis'!H20</f>
        <v>2217.6000000000004</v>
      </c>
      <c r="E19" s="149">
        <f>'College Station Analysis'!I20</f>
        <v>0</v>
      </c>
    </row>
    <row r="20" spans="2:5" x14ac:dyDescent="0.2">
      <c r="B20" s="140" t="s">
        <v>15</v>
      </c>
      <c r="C20" s="150">
        <f>SUM(C13:C19)</f>
        <v>720975.7473772628</v>
      </c>
      <c r="D20" s="150">
        <f>SUM(D13:D19)</f>
        <v>81328.092467225346</v>
      </c>
      <c r="E20" s="149">
        <f>SUM(E13:E19)</f>
        <v>239621.46016015959</v>
      </c>
    </row>
    <row r="21" spans="2:5" x14ac:dyDescent="0.2">
      <c r="B21" s="144"/>
      <c r="C21" s="151"/>
      <c r="D21" s="151"/>
      <c r="E21" s="145"/>
    </row>
    <row r="22" spans="2:5" x14ac:dyDescent="0.2">
      <c r="B22" s="140" t="s">
        <v>89</v>
      </c>
      <c r="C22" t="s">
        <v>91</v>
      </c>
      <c r="D22" t="s">
        <v>92</v>
      </c>
      <c r="E22" s="141" t="s">
        <v>93</v>
      </c>
    </row>
    <row r="23" spans="2:5" x14ac:dyDescent="0.2">
      <c r="B23" s="142" t="str">
        <f>'Fate Analysis'!E14</f>
        <v>Public Service</v>
      </c>
      <c r="C23" s="150">
        <f>'Fate Analysis'!G14</f>
        <v>246895.07232466323</v>
      </c>
      <c r="D23" s="150">
        <f>'Fate Analysis'!H14</f>
        <v>239691.23732314786</v>
      </c>
      <c r="E23" s="149">
        <f>'Fate Analysis'!I14</f>
        <v>11788.093638843337</v>
      </c>
    </row>
    <row r="24" spans="2:5" x14ac:dyDescent="0.2">
      <c r="B24" s="142" t="str">
        <f>'Fate Analysis'!E15</f>
        <v>Transportation &amp; Public Works</v>
      </c>
      <c r="C24" s="150">
        <f>'Fate Analysis'!G15</f>
        <v>6938.5565616243612</v>
      </c>
      <c r="D24" s="150">
        <f>'Fate Analysis'!H15</f>
        <v>910.3918739151602</v>
      </c>
      <c r="E24" s="149">
        <f>'Fate Analysis'!I15</f>
        <v>48.94579967285808</v>
      </c>
    </row>
    <row r="25" spans="2:5" x14ac:dyDescent="0.2">
      <c r="B25" s="142" t="str">
        <f>'Fate Analysis'!E16</f>
        <v xml:space="preserve">Library, Parks &amp; Recreation, and Other </v>
      </c>
      <c r="C25" s="150">
        <f>'Fate Analysis'!G16</f>
        <v>2258.8077744091333</v>
      </c>
      <c r="D25" s="150">
        <f>'Fate Analysis'!H16</f>
        <v>296.37291622467467</v>
      </c>
      <c r="E25" s="149">
        <f>'Fate Analysis'!I16</f>
        <v>15.934027754014767</v>
      </c>
    </row>
    <row r="26" spans="2:5" x14ac:dyDescent="0.2">
      <c r="B26" s="142" t="str">
        <f>'Fate Analysis'!E17</f>
        <v>Development-induced Arterial Road Maintenance</v>
      </c>
      <c r="C26" s="150">
        <f>'Fate Analysis'!G17</f>
        <v>46832.991263000127</v>
      </c>
      <c r="D26" s="150">
        <f>'Fate Analysis'!H17</f>
        <v>12015.222880229088</v>
      </c>
      <c r="E26" s="149">
        <f>'Fate Analysis'!I17</f>
        <v>883.69009721081613</v>
      </c>
    </row>
    <row r="27" spans="2:5" x14ac:dyDescent="0.2">
      <c r="B27" s="142" t="str">
        <f>'Fate Analysis'!E18</f>
        <v>Local Street Capital Replacement</v>
      </c>
      <c r="C27" s="150">
        <f>'Fate Analysis'!G18</f>
        <v>253800.00000000003</v>
      </c>
      <c r="D27" s="150">
        <f>'Fate Analysis'!H18</f>
        <v>0</v>
      </c>
      <c r="E27" s="149">
        <f>'Fate Analysis'!I18</f>
        <v>0</v>
      </c>
    </row>
    <row r="28" spans="2:5" x14ac:dyDescent="0.2">
      <c r="B28" s="142" t="str">
        <f>'Fate Analysis'!E19</f>
        <v>Waterline Capital Replacement</v>
      </c>
      <c r="C28" s="150">
        <f>'Fate Analysis'!G19</f>
        <v>178675.20000000004</v>
      </c>
      <c r="D28" s="150">
        <f>'Fate Analysis'!H19</f>
        <v>0</v>
      </c>
      <c r="E28" s="149">
        <f>'Fate Analysis'!I19</f>
        <v>0</v>
      </c>
    </row>
    <row r="29" spans="2:5" x14ac:dyDescent="0.2">
      <c r="B29" s="142" t="str">
        <f>'Fate Analysis'!E20</f>
        <v>Sanitary Sewer Capital Replacement</v>
      </c>
      <c r="C29" s="150">
        <f>'Fate Analysis'!G20</f>
        <v>134006.40000000002</v>
      </c>
      <c r="D29" s="150">
        <f>'Fate Analysis'!H20</f>
        <v>0</v>
      </c>
      <c r="E29" s="149">
        <f>'Fate Analysis'!I20</f>
        <v>0</v>
      </c>
    </row>
    <row r="30" spans="2:5" x14ac:dyDescent="0.2">
      <c r="B30" s="140" t="s">
        <v>15</v>
      </c>
      <c r="C30" s="150">
        <f>SUM(C23:C29)</f>
        <v>869407.02792369702</v>
      </c>
      <c r="D30" s="150">
        <f>SUM(D23:D29)</f>
        <v>252913.22499351678</v>
      </c>
      <c r="E30" s="149">
        <f>SUM(E23:E29)</f>
        <v>12736.663563481025</v>
      </c>
    </row>
    <row r="31" spans="2:5" x14ac:dyDescent="0.2">
      <c r="B31" s="144"/>
      <c r="C31" s="151"/>
      <c r="D31" s="151"/>
      <c r="E31" s="145"/>
    </row>
    <row r="32" spans="2:5" x14ac:dyDescent="0.2">
      <c r="B32" s="140" t="s">
        <v>90</v>
      </c>
      <c r="C32" t="s">
        <v>91</v>
      </c>
      <c r="D32" t="s">
        <v>92</v>
      </c>
      <c r="E32" s="141" t="s">
        <v>93</v>
      </c>
    </row>
    <row r="33" spans="2:5" x14ac:dyDescent="0.2">
      <c r="B33" s="142" t="str">
        <f>'Fort Worth Analysis'!E14</f>
        <v>Public Service</v>
      </c>
      <c r="C33" s="150">
        <f>'Fort Worth Analysis'!G14</f>
        <v>126354.05656675884</v>
      </c>
      <c r="D33" s="150">
        <f>'Fort Worth Analysis'!H14</f>
        <v>9090.2198968891244</v>
      </c>
      <c r="E33" s="149">
        <f>'Fort Worth Analysis'!I14</f>
        <v>198166.79375218294</v>
      </c>
    </row>
    <row r="34" spans="2:5" x14ac:dyDescent="0.2">
      <c r="B34" s="142" t="str">
        <f>'Fort Worth Analysis'!E15</f>
        <v>Transportation &amp; Public Works</v>
      </c>
      <c r="C34" s="150">
        <f>'Fort Worth Analysis'!G15</f>
        <v>2581.8924925824963</v>
      </c>
      <c r="D34" s="150">
        <f>'Fort Worth Analysis'!H15</f>
        <v>47.083583253328023</v>
      </c>
      <c r="E34" s="149">
        <f>'Fort Worth Analysis'!I15</f>
        <v>277.27950210459898</v>
      </c>
    </row>
    <row r="35" spans="2:5" x14ac:dyDescent="0.2">
      <c r="B35" s="142" t="str">
        <f>'Fort Worth Analysis'!E16</f>
        <v xml:space="preserve">Library, Parks &amp; Recreation, and Other </v>
      </c>
      <c r="C35" s="150">
        <f>'Fort Worth Analysis'!G16</f>
        <v>4980.6565553961682</v>
      </c>
      <c r="D35" s="150">
        <f>'Fort Worth Analysis'!H16</f>
        <v>90.827622860341265</v>
      </c>
      <c r="E35" s="149">
        <f>'Fort Worth Analysis'!I16</f>
        <v>534.89212808117327</v>
      </c>
    </row>
    <row r="36" spans="2:5" x14ac:dyDescent="0.2">
      <c r="B36" s="142" t="str">
        <f>'Fort Worth Analysis'!E17</f>
        <v>Development-induced Arterial Road Maintenance</v>
      </c>
      <c r="C36" s="150">
        <f>'Fort Worth Analysis'!G17</f>
        <v>10996.928178862248</v>
      </c>
      <c r="D36" s="150">
        <f>'Fort Worth Analysis'!H17</f>
        <v>808.64195385295329</v>
      </c>
      <c r="E36" s="149">
        <f>'Fort Worth Analysis'!I17</f>
        <v>19504.506977879719</v>
      </c>
    </row>
    <row r="37" spans="2:5" x14ac:dyDescent="0.2">
      <c r="B37" s="142" t="str">
        <f>'Fort Worth Analysis'!E18</f>
        <v>Local Street Capital Replacement</v>
      </c>
      <c r="C37" s="150">
        <f>'Fort Worth Analysis'!G18</f>
        <v>95400</v>
      </c>
      <c r="D37" s="150">
        <f>'Fort Worth Analysis'!H18</f>
        <v>0</v>
      </c>
      <c r="E37" s="149">
        <f>'Fort Worth Analysis'!I18</f>
        <v>0</v>
      </c>
    </row>
    <row r="38" spans="2:5" x14ac:dyDescent="0.2">
      <c r="B38" s="142" t="str">
        <f>'Fort Worth Analysis'!E19</f>
        <v>Waterline Capital Replacement</v>
      </c>
      <c r="C38" s="150">
        <f>'Fort Worth Analysis'!G19</f>
        <v>67161.600000000006</v>
      </c>
      <c r="D38" s="150">
        <f>'Fort Worth Analysis'!H19</f>
        <v>0</v>
      </c>
      <c r="E38" s="149">
        <f>'Fort Worth Analysis'!I19</f>
        <v>0</v>
      </c>
    </row>
    <row r="39" spans="2:5" x14ac:dyDescent="0.2">
      <c r="B39" s="142" t="str">
        <f>'Fort Worth Analysis'!E20</f>
        <v>Sanitary Sewer Capital Replacement</v>
      </c>
      <c r="C39" s="150">
        <f>'Fort Worth Analysis'!G20</f>
        <v>50371.200000000004</v>
      </c>
      <c r="D39" s="150">
        <f>'Fort Worth Analysis'!H20</f>
        <v>0</v>
      </c>
      <c r="E39" s="149">
        <f>'Fort Worth Analysis'!I20</f>
        <v>0</v>
      </c>
    </row>
    <row r="40" spans="2:5" x14ac:dyDescent="0.2">
      <c r="B40" s="140" t="s">
        <v>15</v>
      </c>
      <c r="C40" s="150">
        <f>SUM(C33:C39)</f>
        <v>357846.3337935998</v>
      </c>
      <c r="D40" s="150">
        <f t="shared" ref="D40:E40" si="0">SUM(D33:D39)</f>
        <v>10036.773056855747</v>
      </c>
      <c r="E40" s="149">
        <f t="shared" si="0"/>
        <v>218483.47236024844</v>
      </c>
    </row>
    <row r="41" spans="2:5" x14ac:dyDescent="0.2">
      <c r="B41" s="144"/>
      <c r="C41" s="151"/>
      <c r="D41" s="151"/>
      <c r="E41" s="145"/>
    </row>
    <row r="42" spans="2:5" x14ac:dyDescent="0.2">
      <c r="B42" s="140" t="s">
        <v>95</v>
      </c>
      <c r="C42" t="s">
        <v>91</v>
      </c>
      <c r="D42" t="s">
        <v>92</v>
      </c>
      <c r="E42" s="141" t="s">
        <v>93</v>
      </c>
    </row>
    <row r="43" spans="2:5" x14ac:dyDescent="0.2">
      <c r="B43" s="142" t="str">
        <f>B13</f>
        <v>Public Service</v>
      </c>
      <c r="C43" s="152">
        <f>AVERAGE(C13/$C$20,C23/$C$30,C33/$C$40)</f>
        <v>0.31326058709316978</v>
      </c>
      <c r="D43" s="152">
        <f>AVERAGE(D13/$D$20,D23/$D$30,D33/$D$40)</f>
        <v>0.89830814100930523</v>
      </c>
      <c r="E43" s="146">
        <f>AVERAGE(E13/$E$20,E23/$E$30,E33/$E$40)</f>
        <v>0.93030623660528333</v>
      </c>
    </row>
    <row r="44" spans="2:5" x14ac:dyDescent="0.2">
      <c r="B44" s="142" t="str">
        <f t="shared" ref="B44:B49" si="1">B14</f>
        <v>Transportation &amp; Public Works</v>
      </c>
      <c r="C44" s="152">
        <f t="shared" ref="C44:C49" si="2">AVERAGE(C14/$C$20,C24/$C$30,C34/$C$40)</f>
        <v>7.3620077368569308E-3</v>
      </c>
      <c r="D44" s="152">
        <f t="shared" ref="D44:D49" si="3">AVERAGE(D14/$D$20,D24/$D$30,D34/$D$40)</f>
        <v>3.492226672565801E-3</v>
      </c>
      <c r="E44" s="146">
        <f t="shared" ref="E44:E49" si="4">AVERAGE(E14/$E$20,E24/$E$30,E34/$E$40)</f>
        <v>1.8733386932660568E-3</v>
      </c>
    </row>
    <row r="45" spans="2:5" x14ac:dyDescent="0.2">
      <c r="B45" s="142" t="str">
        <f t="shared" si="1"/>
        <v xml:space="preserve">Library, Parks &amp; Recreation, and Other </v>
      </c>
      <c r="C45" s="152">
        <f t="shared" si="2"/>
        <v>1.2027416962331222E-2</v>
      </c>
      <c r="D45" s="152">
        <f t="shared" si="3"/>
        <v>5.4762323819664387E-3</v>
      </c>
      <c r="E45" s="146">
        <f t="shared" si="4"/>
        <v>1.7139310819103521E-3</v>
      </c>
    </row>
    <row r="46" spans="2:5" x14ac:dyDescent="0.2">
      <c r="B46" s="142" t="str">
        <f t="shared" si="1"/>
        <v>Development-induced Arterial Road Maintenance</v>
      </c>
      <c r="C46" s="152">
        <f t="shared" si="2"/>
        <v>3.2629645241444828E-2</v>
      </c>
      <c r="D46" s="152">
        <f t="shared" si="3"/>
        <v>5.4301252001741497E-2</v>
      </c>
      <c r="E46" s="146">
        <f t="shared" si="4"/>
        <v>6.6106493619540255E-2</v>
      </c>
    </row>
    <row r="47" spans="2:5" x14ac:dyDescent="0.2">
      <c r="B47" s="142" t="str">
        <f t="shared" si="1"/>
        <v>Local Street Capital Replacement</v>
      </c>
      <c r="C47" s="152">
        <f t="shared" si="2"/>
        <v>0.28437291351532135</v>
      </c>
      <c r="D47" s="152">
        <f t="shared" si="3"/>
        <v>1.7214223984955635E-2</v>
      </c>
      <c r="E47" s="146">
        <f t="shared" si="4"/>
        <v>0</v>
      </c>
    </row>
    <row r="48" spans="2:5" x14ac:dyDescent="0.2">
      <c r="B48" s="142" t="str">
        <f t="shared" si="1"/>
        <v>Waterline Capital Replacement</v>
      </c>
      <c r="C48" s="152">
        <f t="shared" si="2"/>
        <v>0.20019853111478625</v>
      </c>
      <c r="D48" s="152">
        <f t="shared" si="3"/>
        <v>1.2118813685408769E-2</v>
      </c>
      <c r="E48" s="146">
        <f t="shared" si="4"/>
        <v>0</v>
      </c>
    </row>
    <row r="49" spans="2:5" x14ac:dyDescent="0.2">
      <c r="B49" s="143" t="str">
        <f t="shared" si="1"/>
        <v>Sanitary Sewer Capital Replacement</v>
      </c>
      <c r="C49" s="147">
        <f t="shared" si="2"/>
        <v>0.15014889833608966</v>
      </c>
      <c r="D49" s="147">
        <f t="shared" si="3"/>
        <v>9.0891102640565744E-3</v>
      </c>
      <c r="E49" s="148">
        <f t="shared" si="4"/>
        <v>0</v>
      </c>
    </row>
    <row r="52" spans="2:5" x14ac:dyDescent="0.2">
      <c r="C52" s="152">
        <f>SUM(C47:C49)</f>
        <v>0.63472034296619728</v>
      </c>
      <c r="D52" s="152">
        <f>SUM(D47:D49)</f>
        <v>3.8422147934420975E-2</v>
      </c>
      <c r="E52" s="152">
        <f>SUM(E47:E49)</f>
        <v>0</v>
      </c>
    </row>
  </sheetData>
  <mergeCells count="3">
    <mergeCell ref="B4:E4"/>
    <mergeCell ref="B11:E11"/>
    <mergeCell ref="M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C856E-1244-40F5-9C47-B963E3747C49}">
  <dimension ref="A1:C50"/>
  <sheetViews>
    <sheetView workbookViewId="0">
      <selection activeCell="P21" sqref="P21"/>
    </sheetView>
  </sheetViews>
  <sheetFormatPr baseColWidth="10" defaultColWidth="8.83203125" defaultRowHeight="16" x14ac:dyDescent="0.2"/>
  <cols>
    <col min="1" max="1" width="45" bestFit="1" customWidth="1"/>
    <col min="2" max="2" width="10" bestFit="1" customWidth="1"/>
  </cols>
  <sheetData>
    <row r="1" spans="1:3" x14ac:dyDescent="0.2">
      <c r="A1" s="157" t="s">
        <v>96</v>
      </c>
      <c r="B1" s="157"/>
    </row>
    <row r="2" spans="1:3" x14ac:dyDescent="0.2">
      <c r="A2" s="10" t="s">
        <v>97</v>
      </c>
      <c r="B2" s="6">
        <f>0.513086/100</f>
        <v>5.1308600000000001E-3</v>
      </c>
    </row>
    <row r="4" spans="1:3" x14ac:dyDescent="0.2">
      <c r="A4" s="60" t="s">
        <v>98</v>
      </c>
      <c r="B4" s="60"/>
      <c r="C4" s="9"/>
    </row>
    <row r="5" spans="1:3" x14ac:dyDescent="0.2">
      <c r="A5" s="98" t="s">
        <v>99</v>
      </c>
      <c r="B5" s="99">
        <v>750000</v>
      </c>
    </row>
    <row r="6" spans="1:3" x14ac:dyDescent="0.2">
      <c r="A6" s="8" t="s">
        <v>100</v>
      </c>
      <c r="B6" s="100">
        <v>25</v>
      </c>
    </row>
    <row r="7" spans="1:3" x14ac:dyDescent="0.2">
      <c r="A7" s="101"/>
      <c r="B7" s="8"/>
    </row>
    <row r="8" spans="1:3" x14ac:dyDescent="0.2">
      <c r="A8" s="60" t="s">
        <v>101</v>
      </c>
      <c r="B8" s="60"/>
    </row>
    <row r="9" spans="1:3" x14ac:dyDescent="0.2">
      <c r="A9" s="98" t="s">
        <v>73</v>
      </c>
      <c r="B9" s="99">
        <v>200</v>
      </c>
    </row>
    <row r="10" spans="1:3" x14ac:dyDescent="0.2">
      <c r="A10" s="102" t="s">
        <v>102</v>
      </c>
      <c r="B10" s="103">
        <v>0.02</v>
      </c>
    </row>
    <row r="12" spans="1:3" x14ac:dyDescent="0.2">
      <c r="A12" s="60" t="s">
        <v>103</v>
      </c>
      <c r="B12" s="60"/>
    </row>
    <row r="13" spans="1:3" x14ac:dyDescent="0.2">
      <c r="A13" s="98" t="s">
        <v>73</v>
      </c>
      <c r="B13" s="99">
        <v>150</v>
      </c>
      <c r="C13" t="s">
        <v>104</v>
      </c>
    </row>
    <row r="14" spans="1:3" x14ac:dyDescent="0.2">
      <c r="A14" s="102" t="s">
        <v>102</v>
      </c>
      <c r="B14" s="103">
        <v>0.02</v>
      </c>
    </row>
    <row r="19" spans="1:3" x14ac:dyDescent="0.2">
      <c r="A19" s="157" t="s">
        <v>108</v>
      </c>
      <c r="B19" s="157"/>
    </row>
    <row r="20" spans="1:3" x14ac:dyDescent="0.2">
      <c r="A20" s="10" t="s">
        <v>105</v>
      </c>
      <c r="B20" s="6">
        <f>0.6725/100</f>
        <v>6.7250000000000001E-3</v>
      </c>
    </row>
    <row r="22" spans="1:3" x14ac:dyDescent="0.2">
      <c r="A22" s="60" t="s">
        <v>98</v>
      </c>
      <c r="B22" s="60"/>
    </row>
    <row r="23" spans="1:3" x14ac:dyDescent="0.2">
      <c r="A23" s="98" t="s">
        <v>99</v>
      </c>
      <c r="B23" s="99">
        <v>750000</v>
      </c>
    </row>
    <row r="24" spans="1:3" x14ac:dyDescent="0.2">
      <c r="A24" s="8" t="s">
        <v>100</v>
      </c>
      <c r="B24" s="100">
        <v>25</v>
      </c>
    </row>
    <row r="25" spans="1:3" x14ac:dyDescent="0.2">
      <c r="A25" s="101"/>
      <c r="B25" s="8"/>
    </row>
    <row r="26" spans="1:3" x14ac:dyDescent="0.2">
      <c r="A26" s="60" t="s">
        <v>101</v>
      </c>
      <c r="B26" s="60"/>
    </row>
    <row r="27" spans="1:3" x14ac:dyDescent="0.2">
      <c r="A27" s="98" t="s">
        <v>73</v>
      </c>
      <c r="B27" s="99">
        <v>200</v>
      </c>
    </row>
    <row r="28" spans="1:3" x14ac:dyDescent="0.2">
      <c r="A28" s="102" t="s">
        <v>102</v>
      </c>
      <c r="B28" s="103">
        <v>0.02</v>
      </c>
    </row>
    <row r="30" spans="1:3" x14ac:dyDescent="0.2">
      <c r="A30" s="60" t="s">
        <v>103</v>
      </c>
      <c r="B30" s="60"/>
    </row>
    <row r="31" spans="1:3" x14ac:dyDescent="0.2">
      <c r="A31" s="98" t="s">
        <v>73</v>
      </c>
      <c r="B31" s="99">
        <v>150</v>
      </c>
      <c r="C31" t="s">
        <v>104</v>
      </c>
    </row>
    <row r="32" spans="1:3" x14ac:dyDescent="0.2">
      <c r="A32" s="102" t="s">
        <v>102</v>
      </c>
      <c r="B32" s="103">
        <v>0.02</v>
      </c>
    </row>
    <row r="37" spans="1:2" x14ac:dyDescent="0.2">
      <c r="A37" s="157" t="s">
        <v>106</v>
      </c>
      <c r="B37" s="157"/>
    </row>
    <row r="38" spans="1:2" x14ac:dyDescent="0.2">
      <c r="A38" s="10" t="s">
        <v>107</v>
      </c>
      <c r="B38" s="6">
        <f>0.26421/100</f>
        <v>2.6421000000000001E-3</v>
      </c>
    </row>
    <row r="40" spans="1:2" x14ac:dyDescent="0.2">
      <c r="A40" s="60" t="s">
        <v>98</v>
      </c>
      <c r="B40" s="60"/>
    </row>
    <row r="41" spans="1:2" x14ac:dyDescent="0.2">
      <c r="A41" s="98" t="s">
        <v>99</v>
      </c>
      <c r="B41" s="99">
        <v>750000</v>
      </c>
    </row>
    <row r="42" spans="1:2" x14ac:dyDescent="0.2">
      <c r="A42" s="8" t="s">
        <v>100</v>
      </c>
      <c r="B42" s="100">
        <v>25</v>
      </c>
    </row>
    <row r="43" spans="1:2" x14ac:dyDescent="0.2">
      <c r="A43" s="101"/>
      <c r="B43" s="8"/>
    </row>
    <row r="44" spans="1:2" x14ac:dyDescent="0.2">
      <c r="A44" s="60" t="s">
        <v>101</v>
      </c>
      <c r="B44" s="60"/>
    </row>
    <row r="45" spans="1:2" x14ac:dyDescent="0.2">
      <c r="A45" s="98" t="s">
        <v>73</v>
      </c>
      <c r="B45" s="99">
        <v>200</v>
      </c>
    </row>
    <row r="46" spans="1:2" x14ac:dyDescent="0.2">
      <c r="A46" s="102" t="s">
        <v>102</v>
      </c>
      <c r="B46" s="103">
        <v>0.02</v>
      </c>
    </row>
    <row r="48" spans="1:2" x14ac:dyDescent="0.2">
      <c r="A48" s="60" t="s">
        <v>103</v>
      </c>
      <c r="B48" s="60"/>
    </row>
    <row r="49" spans="1:3" x14ac:dyDescent="0.2">
      <c r="A49" s="98" t="s">
        <v>73</v>
      </c>
      <c r="B49" s="99">
        <v>150</v>
      </c>
      <c r="C49" t="s">
        <v>104</v>
      </c>
    </row>
    <row r="50" spans="1:3" x14ac:dyDescent="0.2">
      <c r="A50" s="102" t="s">
        <v>102</v>
      </c>
      <c r="B50" s="103">
        <v>0.02</v>
      </c>
    </row>
  </sheetData>
  <mergeCells count="3">
    <mergeCell ref="A1:B1"/>
    <mergeCell ref="A19:B19"/>
    <mergeCell ref="A37:B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e65ac0-4dab-4690-8d5b-0fa30375ba35">
      <Terms xmlns="http://schemas.microsoft.com/office/infopath/2007/PartnerControls"/>
    </lcf76f155ced4ddcb4097134ff3c332f>
    <TaxCatchAll xmlns="d73565bc-7850-47cd-83a9-a235e8873cb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7055F75B23924A946E8A4D22C534D3" ma:contentTypeVersion="11" ma:contentTypeDescription="Create a new document." ma:contentTypeScope="" ma:versionID="0105d5c6d4dc70089dd6c5d0495dc453">
  <xsd:schema xmlns:xsd="http://www.w3.org/2001/XMLSchema" xmlns:xs="http://www.w3.org/2001/XMLSchema" xmlns:p="http://schemas.microsoft.com/office/2006/metadata/properties" xmlns:ns2="52e65ac0-4dab-4690-8d5b-0fa30375ba35" xmlns:ns3="d73565bc-7850-47cd-83a9-a235e8873cb4" targetNamespace="http://schemas.microsoft.com/office/2006/metadata/properties" ma:root="true" ma:fieldsID="a8f958ce21a1b399d0b7bb2714233f13" ns2:_="" ns3:_="">
    <xsd:import namespace="52e65ac0-4dab-4690-8d5b-0fa30375ba35"/>
    <xsd:import namespace="d73565bc-7850-47cd-83a9-a235e8873c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65ac0-4dab-4690-8d5b-0fa30375b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8c7800f-3133-4166-986f-ae8bcd4998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565bc-7850-47cd-83a9-a235e8873cb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5af98d5-6c6a-44db-991c-2d0c50251557}" ma:internalName="TaxCatchAll" ma:showField="CatchAllData" ma:web="d73565bc-7850-47cd-83a9-a235e8873c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6F01CD-2409-4181-85E6-0C76FD2650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5616AC-3F55-41B2-BDB8-5B5D9B6E6361}">
  <ds:schemaRefs>
    <ds:schemaRef ds:uri="http://schemas.microsoft.com/office/2006/metadata/properties"/>
    <ds:schemaRef ds:uri="http://schemas.microsoft.com/office/infopath/2007/PartnerControls"/>
    <ds:schemaRef ds:uri="52e65ac0-4dab-4690-8d5b-0fa30375ba35"/>
    <ds:schemaRef ds:uri="d73565bc-7850-47cd-83a9-a235e8873cb4"/>
  </ds:schemaRefs>
</ds:datastoreItem>
</file>

<file path=customXml/itemProps3.xml><?xml version="1.0" encoding="utf-8"?>
<ds:datastoreItem xmlns:ds="http://schemas.openxmlformats.org/officeDocument/2006/customXml" ds:itemID="{C96F8B78-0AEA-4555-BAE2-B298B9DB9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e65ac0-4dab-4690-8d5b-0fa30375ba35"/>
    <ds:schemaRef ds:uri="d73565bc-7850-47cd-83a9-a235e8873c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College Station Analysis</vt:lpstr>
      <vt:lpstr>Fate Analysis</vt:lpstr>
      <vt:lpstr>Fort Worth Analysis</vt:lpstr>
      <vt:lpstr>Summary Results</vt:lpstr>
      <vt:lpstr>Assumptions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Liu, Haijing</dc:creator>
  <cp:keywords/>
  <dc:description/>
  <cp:lastModifiedBy>Wegmann, Jacob A</cp:lastModifiedBy>
  <cp:revision/>
  <dcterms:created xsi:type="dcterms:W3CDTF">2024-10-23T13:36:33Z</dcterms:created>
  <dcterms:modified xsi:type="dcterms:W3CDTF">2025-03-17T16:21:46Z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0x010100347055F75B23924A946E8A4D22C534D3</vt:lpwstr>
  </property>
  <property fmtid="{D5CDD505-2E9C-101B-9397-08002B2CF9AE}" pid="3" name="MediaServiceImageTags">
    <vt:lpwstr/>
  </property>
</Properties>
</file>